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20" windowWidth="11355" windowHeight="8700" tabRatio="720"/>
  </bookViews>
  <sheets>
    <sheet name="Input" sheetId="9" r:id="rId1"/>
    <sheet name="Model_Mthly" sheetId="10" r:id="rId2"/>
    <sheet name="Sensitivity_Analysis_Mthly" sheetId="12" r:id="rId3"/>
    <sheet name="Model_Annual" sheetId="13" r:id="rId4"/>
    <sheet name="Sensitivity_Analysis_Annual" sheetId="14" r:id="rId5"/>
  </sheets>
  <definedNames>
    <definedName name="amort_period">Input!$C$12</definedName>
    <definedName name="annual_incr_advtg">Input!$I$17</definedName>
    <definedName name="annual_incr_ins">Input!$I$11</definedName>
    <definedName name="annual_incr_other1">Input!$I$20</definedName>
    <definedName name="annual_incr_other2">Input!$I$23</definedName>
    <definedName name="annual_incr_proptax">Input!$I$8</definedName>
    <definedName name="annual_incr_util">Input!$I$14</definedName>
    <definedName name="appreciation_rate">Input!$C$29</definedName>
    <definedName name="cap_rate">Input!$C$28</definedName>
    <definedName name="capital_gains_tax">Input!$C$34</definedName>
    <definedName name="compound_interest_rate" localSheetId="4">((1+annual_interest_rate/Sensitivity_Analysis_Annual!compound_period)^(Sensitivity_Analysis_Annual!compound_period/Sensitivity_Analysis_Annual!num_pymnt_per_year))-1</definedName>
    <definedName name="compound_interest_rate">((1+annual_interest_rate/compound_period)^(compound_period/num_pymnt_per_year))-1</definedName>
    <definedName name="compound_period" localSheetId="4">IF(#REF!="Weekly",52,IF(#REF!="Bi-Weekly",26,IF(#REF!="Monthly",12,IF(#REF!="Semi-Monthly",24,IF(#REF!="Quarterly",4,IF(#REF!="Semi-Annually",2,IF(#REF!="Annually",1)))))))</definedName>
    <definedName name="compound_period">IF(#REF!="Weekly",52,IF(#REF!="Bi-Weekly",26,IF(#REF!="Monthly",12,IF(#REF!="Semi-Monthly",24,IF(#REF!="Quarterly",4,IF(#REF!="Semi-Annually",2,IF(#REF!="Annually",1)))))))</definedName>
    <definedName name="cost_of_sale">Input!$C$30</definedName>
    <definedName name="Date">Model_Mthly!$A$5:$A$124</definedName>
    <definedName name="depr_no_of_yrs">Input!$C$24</definedName>
    <definedName name="down_payment">Input!$C$9</definedName>
    <definedName name="finance_rate">Input!$C$37</definedName>
    <definedName name="income_tax">Input!$C$33</definedName>
    <definedName name="interest_rate">Input!$C$11</definedName>
    <definedName name="leveraged_property">IF(loan_amount*interest_rate*amort_period&gt;0,1,0)</definedName>
    <definedName name="loan_amount">Input!$C$10</definedName>
    <definedName name="mgmt_fee">Input!$I$26</definedName>
    <definedName name="month_no">Model_Mthly!$B$5:$B$136</definedName>
    <definedName name="mthly_rent">Input!$C$14</definedName>
    <definedName name="nper" localSheetId="4">loan_period*Sensitivity_Analysis_Annual!num_pymnt_per_year</definedName>
    <definedName name="nper">loan_period*num_pymnt_per_year</definedName>
    <definedName name="num_pymnt_per_year" localSheetId="4">IF(OR(#REF!="Weekly",#REF!="Acc Weekly"),52,IF(OR(#REF!="Bi-Weekly",#REF!="Acc Bi-Weekly"),26,IF(#REF!="Monthly",12,IF(#REF!="Semi-Monthly",24,IF(#REF!="Quarterly",4,IF(#REF!="Semi-Annually",2,IF(#REF!="Annually",1)))))))</definedName>
    <definedName name="num_pymnt_per_year">IF(OR(#REF!="Weekly",#REF!="Acc Weekly"),52,IF(OR(#REF!="Bi-Weekly",#REF!="Acc Bi-Weekly"),26,IF(#REF!="Monthly",12,IF(#REF!="Semi-Monthly",24,IF(#REF!="Quarterly",4,IF(#REF!="Semi-Annually",2,IF(#REF!="Annually",1)))))))</definedName>
    <definedName name="option_termvalue">Input!$C$31</definedName>
    <definedName name="other_3">Input!$I$30</definedName>
    <definedName name="purchase_date">Input!$C$7</definedName>
    <definedName name="reinvestment_rate">Input!$C$38</definedName>
    <definedName name="rent_increase_interval">Input!$C$15</definedName>
    <definedName name="repairs_maint">Input!$I$28</definedName>
    <definedName name="total_initial_cost">Input!$C$6</definedName>
    <definedName name="vacancy_losses">Input!$C$18</definedName>
    <definedName name="variable_rate" localSheetId="4">IF(#REF!="Variable Rate",1,0)</definedName>
    <definedName name="variable_rate">IF(#REF!="Variable Rate",1,0)</definedName>
  </definedNames>
  <calcPr calcId="125725"/>
</workbook>
</file>

<file path=xl/calcChain.xml><?xml version="1.0" encoding="utf-8"?>
<calcChain xmlns="http://schemas.openxmlformats.org/spreadsheetml/2006/main">
  <c r="E7" i="9"/>
  <c r="E31"/>
  <c r="E10"/>
  <c r="E12"/>
  <c r="E11"/>
  <c r="E38"/>
  <c r="E37"/>
  <c r="E28"/>
  <c r="E14"/>
  <c r="E3"/>
  <c r="H3" i="12"/>
  <c r="U124" i="10" l="1"/>
  <c r="U123"/>
  <c r="U122"/>
  <c r="U121"/>
  <c r="U120"/>
  <c r="U119"/>
  <c r="U118"/>
  <c r="U117"/>
  <c r="U116"/>
  <c r="U115"/>
  <c r="U114"/>
  <c r="U113"/>
  <c r="U112"/>
  <c r="U111"/>
  <c r="U110"/>
  <c r="U109"/>
  <c r="U108"/>
  <c r="U107"/>
  <c r="U106"/>
  <c r="U105"/>
  <c r="U104"/>
  <c r="U103"/>
  <c r="U102"/>
  <c r="U101"/>
  <c r="U100"/>
  <c r="U99"/>
  <c r="U98"/>
  <c r="U97"/>
  <c r="U96"/>
  <c r="U95"/>
  <c r="U94"/>
  <c r="U93"/>
  <c r="U92"/>
  <c r="U91"/>
  <c r="U90"/>
  <c r="U89"/>
  <c r="U88"/>
  <c r="U87"/>
  <c r="U86"/>
  <c r="U85"/>
  <c r="U84"/>
  <c r="U83"/>
  <c r="U82"/>
  <c r="U81"/>
  <c r="U80"/>
  <c r="U79"/>
  <c r="U78"/>
  <c r="U77"/>
  <c r="U76"/>
  <c r="U75"/>
  <c r="U74"/>
  <c r="U73"/>
  <c r="U72"/>
  <c r="U71"/>
  <c r="U70"/>
  <c r="U69"/>
  <c r="U68"/>
  <c r="U67"/>
  <c r="U66"/>
  <c r="U65"/>
  <c r="U64"/>
  <c r="U63"/>
  <c r="U62"/>
  <c r="U61"/>
  <c r="U60"/>
  <c r="U59"/>
  <c r="U58"/>
  <c r="U57"/>
  <c r="U56"/>
  <c r="U55"/>
  <c r="U54"/>
  <c r="U53"/>
  <c r="U52"/>
  <c r="U51"/>
  <c r="U50"/>
  <c r="U49"/>
  <c r="U48"/>
  <c r="U47"/>
  <c r="U46"/>
  <c r="U45"/>
  <c r="U44"/>
  <c r="U43"/>
  <c r="U42"/>
  <c r="U41"/>
  <c r="U40"/>
  <c r="U39"/>
  <c r="U38"/>
  <c r="U37"/>
  <c r="U36"/>
  <c r="U35"/>
  <c r="U34"/>
  <c r="U33"/>
  <c r="U32"/>
  <c r="U31"/>
  <c r="U30"/>
  <c r="U29"/>
  <c r="U28"/>
  <c r="U27"/>
  <c r="U26"/>
  <c r="U25"/>
  <c r="U24"/>
  <c r="U23"/>
  <c r="U22"/>
  <c r="U21"/>
  <c r="U20"/>
  <c r="U19"/>
  <c r="U18"/>
  <c r="U17"/>
  <c r="U16"/>
  <c r="U15"/>
  <c r="U14"/>
  <c r="U13"/>
  <c r="U12"/>
  <c r="U11"/>
  <c r="U10"/>
  <c r="U9"/>
  <c r="U8"/>
  <c r="U7"/>
  <c r="U6"/>
  <c r="U5"/>
  <c r="S12"/>
  <c r="S11"/>
  <c r="S10"/>
  <c r="S9"/>
  <c r="S8"/>
  <c r="S7"/>
  <c r="S6"/>
  <c r="S5"/>
  <c r="S13"/>
  <c r="S14"/>
  <c r="S124"/>
  <c r="S123"/>
  <c r="S122"/>
  <c r="S121"/>
  <c r="S120"/>
  <c r="S119"/>
  <c r="S118"/>
  <c r="S117"/>
  <c r="S116"/>
  <c r="S115"/>
  <c r="S114"/>
  <c r="S113"/>
  <c r="S112"/>
  <c r="S111"/>
  <c r="S110"/>
  <c r="S109"/>
  <c r="S108"/>
  <c r="S107"/>
  <c r="S106"/>
  <c r="S105"/>
  <c r="S104"/>
  <c r="S103"/>
  <c r="S102"/>
  <c r="S101"/>
  <c r="S100"/>
  <c r="S99"/>
  <c r="S98"/>
  <c r="S97"/>
  <c r="S96"/>
  <c r="S95"/>
  <c r="S94"/>
  <c r="S93"/>
  <c r="S92"/>
  <c r="S91"/>
  <c r="S90"/>
  <c r="S89"/>
  <c r="S88"/>
  <c r="S87"/>
  <c r="S86"/>
  <c r="S85"/>
  <c r="S84"/>
  <c r="S83"/>
  <c r="S82"/>
  <c r="S81"/>
  <c r="S80"/>
  <c r="S79"/>
  <c r="S78"/>
  <c r="S77"/>
  <c r="S76"/>
  <c r="S75"/>
  <c r="S74"/>
  <c r="S73"/>
  <c r="S72"/>
  <c r="S71"/>
  <c r="S70"/>
  <c r="S69"/>
  <c r="S68"/>
  <c r="S67"/>
  <c r="S66"/>
  <c r="S65"/>
  <c r="S64"/>
  <c r="S63"/>
  <c r="S62"/>
  <c r="S61"/>
  <c r="S60"/>
  <c r="S59"/>
  <c r="S58"/>
  <c r="S57"/>
  <c r="S56"/>
  <c r="S55"/>
  <c r="S54"/>
  <c r="S53"/>
  <c r="S52"/>
  <c r="S51"/>
  <c r="S50"/>
  <c r="S49"/>
  <c r="S48"/>
  <c r="S47"/>
  <c r="S46"/>
  <c r="S45"/>
  <c r="S44"/>
  <c r="S43"/>
  <c r="S42"/>
  <c r="S41"/>
  <c r="S40"/>
  <c r="S39"/>
  <c r="S38"/>
  <c r="S37"/>
  <c r="S36"/>
  <c r="S35"/>
  <c r="S34"/>
  <c r="S33"/>
  <c r="S32"/>
  <c r="S31"/>
  <c r="S30"/>
  <c r="S29"/>
  <c r="S28"/>
  <c r="S27"/>
  <c r="S26"/>
  <c r="S25"/>
  <c r="S24"/>
  <c r="S23"/>
  <c r="S22"/>
  <c r="S21"/>
  <c r="S20"/>
  <c r="S19"/>
  <c r="S18"/>
  <c r="S17"/>
  <c r="S16"/>
  <c r="S15"/>
  <c r="B11" i="14"/>
  <c r="B19" s="1"/>
  <c r="AL3" i="12"/>
  <c r="AM3"/>
  <c r="AN3"/>
  <c r="L3" i="14"/>
  <c r="K3"/>
  <c r="J3"/>
  <c r="I3"/>
  <c r="H3"/>
  <c r="G3"/>
  <c r="F3"/>
  <c r="E3"/>
  <c r="D3"/>
  <c r="C3"/>
  <c r="B3"/>
  <c r="A67" i="13"/>
  <c r="A59"/>
  <c r="C3"/>
  <c r="A68"/>
  <c r="A61"/>
  <c r="A8" i="14" s="1"/>
  <c r="A60" i="13"/>
  <c r="A6" i="14" s="1"/>
  <c r="A57" i="13"/>
  <c r="A56"/>
  <c r="A55"/>
  <c r="A54"/>
  <c r="A53"/>
  <c r="A52"/>
  <c r="A51"/>
  <c r="A47"/>
  <c r="A45"/>
  <c r="A44"/>
  <c r="A43"/>
  <c r="A41"/>
  <c r="A40"/>
  <c r="A39"/>
  <c r="A38"/>
  <c r="A36"/>
  <c r="A35"/>
  <c r="A34"/>
  <c r="A33"/>
  <c r="A32"/>
  <c r="A30"/>
  <c r="A28"/>
  <c r="A27"/>
  <c r="A26"/>
  <c r="A25"/>
  <c r="A23"/>
  <c r="A21"/>
  <c r="A20"/>
  <c r="A19"/>
  <c r="A18"/>
  <c r="A17"/>
  <c r="A16"/>
  <c r="A15"/>
  <c r="A14"/>
  <c r="A13"/>
  <c r="A12"/>
  <c r="A9"/>
  <c r="A7"/>
  <c r="A6"/>
  <c r="D3"/>
  <c r="E3" s="1"/>
  <c r="F3" s="1"/>
  <c r="G3" s="1"/>
  <c r="H3" s="1"/>
  <c r="I3" s="1"/>
  <c r="J3" s="1"/>
  <c r="K3" s="1"/>
  <c r="L3" s="1"/>
  <c r="M3" s="1"/>
  <c r="BB3" i="12"/>
  <c r="BJ3" s="1"/>
  <c r="B44" i="14" s="1"/>
  <c r="AW2" i="12"/>
  <c r="AU2"/>
  <c r="AT2"/>
  <c r="AR2"/>
  <c r="AQ2"/>
  <c r="AO2"/>
  <c r="AN2"/>
  <c r="AL2"/>
  <c r="AK2"/>
  <c r="AI2"/>
  <c r="AH2"/>
  <c r="AF2"/>
  <c r="AE2"/>
  <c r="A27" i="14" s="1"/>
  <c r="A29" s="1"/>
  <c r="A31" s="1"/>
  <c r="A33" s="1"/>
  <c r="A35" s="1"/>
  <c r="A37" s="1"/>
  <c r="A39" s="1"/>
  <c r="AC2" i="12"/>
  <c r="X3" l="1"/>
  <c r="P3"/>
  <c r="AK3"/>
  <c r="BA3" s="1"/>
  <c r="BI3" s="1"/>
  <c r="A32" i="14"/>
  <c r="AO3" i="12"/>
  <c r="U3" i="10"/>
  <c r="AP3" i="12" l="1"/>
  <c r="AR3"/>
  <c r="AU3" s="1"/>
  <c r="AI3"/>
  <c r="AH3"/>
  <c r="AZ3" s="1"/>
  <c r="BH3" s="1"/>
  <c r="AQ3"/>
  <c r="BC3" s="1"/>
  <c r="BK3" s="1"/>
  <c r="B45" i="14" s="1"/>
  <c r="A34"/>
  <c r="AJ3" i="12"/>
  <c r="AE3"/>
  <c r="AY3" s="1"/>
  <c r="BG3" s="1"/>
  <c r="B43" i="14"/>
  <c r="AT3" i="12"/>
  <c r="BD3" s="1"/>
  <c r="BL3" s="1"/>
  <c r="B46" i="14" s="1"/>
  <c r="A38" l="1"/>
  <c r="A30"/>
  <c r="A36"/>
  <c r="AS3" i="12"/>
  <c r="B41" i="14"/>
  <c r="B42"/>
  <c r="AG3" i="12"/>
  <c r="AF3"/>
  <c r="AV3"/>
  <c r="AW3"/>
  <c r="BE3" s="1"/>
  <c r="BM3" s="1"/>
  <c r="B47" i="14" s="1"/>
  <c r="D2" i="12"/>
  <c r="I3"/>
  <c r="G3"/>
  <c r="B4"/>
  <c r="AA3" i="10"/>
  <c r="C5"/>
  <c r="A4"/>
  <c r="C6" i="9"/>
  <c r="E6" s="1"/>
  <c r="B5" i="10"/>
  <c r="B5" i="12" s="1"/>
  <c r="AM5" s="1"/>
  <c r="AJ5" l="1"/>
  <c r="AP5"/>
  <c r="C9" i="9"/>
  <c r="E9" s="1"/>
  <c r="E39" s="1"/>
  <c r="AS5" i="12"/>
  <c r="AV5"/>
  <c r="AG5"/>
  <c r="A28" i="14"/>
  <c r="C23" i="9"/>
  <c r="C22" s="1"/>
  <c r="X5" i="10"/>
  <c r="A5"/>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B2" i="13"/>
  <c r="O3" i="12"/>
  <c r="W3" s="1"/>
  <c r="B10" i="14"/>
  <c r="B18" s="1"/>
  <c r="B12"/>
  <c r="B20" s="1"/>
  <c r="Q3" i="12"/>
  <c r="Y3" s="1"/>
  <c r="F3"/>
  <c r="E3" s="1"/>
  <c r="J3"/>
  <c r="AH3" i="10"/>
  <c r="B36" i="13"/>
  <c r="A4" i="12"/>
  <c r="M5" i="10"/>
  <c r="I5"/>
  <c r="O5"/>
  <c r="L5"/>
  <c r="K5"/>
  <c r="G5"/>
  <c r="H5"/>
  <c r="J5"/>
  <c r="D5"/>
  <c r="B6"/>
  <c r="AY123" l="1"/>
  <c r="AY121"/>
  <c r="AY119"/>
  <c r="AY117"/>
  <c r="AY115"/>
  <c r="AY113"/>
  <c r="AY111"/>
  <c r="AY109"/>
  <c r="AY107"/>
  <c r="AY105"/>
  <c r="AY103"/>
  <c r="AY101"/>
  <c r="AY99"/>
  <c r="AY97"/>
  <c r="AY95"/>
  <c r="AY93"/>
  <c r="AY91"/>
  <c r="AY89"/>
  <c r="AY87"/>
  <c r="AY85"/>
  <c r="AY83"/>
  <c r="AY81"/>
  <c r="AY79"/>
  <c r="AY77"/>
  <c r="AY75"/>
  <c r="AY73"/>
  <c r="AY71"/>
  <c r="AY69"/>
  <c r="AY67"/>
  <c r="AY65"/>
  <c r="AY63"/>
  <c r="AY61"/>
  <c r="AY59"/>
  <c r="AY57"/>
  <c r="AY55"/>
  <c r="AY53"/>
  <c r="AY51"/>
  <c r="AY49"/>
  <c r="AY47"/>
  <c r="AY45"/>
  <c r="AY43"/>
  <c r="AY41"/>
  <c r="AY38"/>
  <c r="AY36"/>
  <c r="AY34"/>
  <c r="AY32"/>
  <c r="AY30"/>
  <c r="AY28"/>
  <c r="AY24"/>
  <c r="AY20"/>
  <c r="AY16"/>
  <c r="AY12"/>
  <c r="AY8"/>
  <c r="AY124"/>
  <c r="AY122"/>
  <c r="AY120"/>
  <c r="AY118"/>
  <c r="AY116"/>
  <c r="AY114"/>
  <c r="AY112"/>
  <c r="AY110"/>
  <c r="AY108"/>
  <c r="AY106"/>
  <c r="AY104"/>
  <c r="AY102"/>
  <c r="AY100"/>
  <c r="AY98"/>
  <c r="AY96"/>
  <c r="AY94"/>
  <c r="AY92"/>
  <c r="AY90"/>
  <c r="AY88"/>
  <c r="AY86"/>
  <c r="AY84"/>
  <c r="AY82"/>
  <c r="AY80"/>
  <c r="AY78"/>
  <c r="AY76"/>
  <c r="AY74"/>
  <c r="AY72"/>
  <c r="AY70"/>
  <c r="AY68"/>
  <c r="AY66"/>
  <c r="AY64"/>
  <c r="AY62"/>
  <c r="AY60"/>
  <c r="AY58"/>
  <c r="AY56"/>
  <c r="AY54"/>
  <c r="AY52"/>
  <c r="AY50"/>
  <c r="AY48"/>
  <c r="AY46"/>
  <c r="AY44"/>
  <c r="AY39"/>
  <c r="AY37"/>
  <c r="AY35"/>
  <c r="AY33"/>
  <c r="AY31"/>
  <c r="AY29"/>
  <c r="AY27"/>
  <c r="AY25"/>
  <c r="AY23"/>
  <c r="AY21"/>
  <c r="AY19"/>
  <c r="AY17"/>
  <c r="AY15"/>
  <c r="AY13"/>
  <c r="AY11"/>
  <c r="AY9"/>
  <c r="AY7"/>
  <c r="AY5"/>
  <c r="AY26"/>
  <c r="AY22"/>
  <c r="AY18"/>
  <c r="AY14"/>
  <c r="AY10"/>
  <c r="AY6"/>
  <c r="B2" i="14"/>
  <c r="A10" i="12"/>
  <c r="A11"/>
  <c r="A22"/>
  <c r="A28"/>
  <c r="A14"/>
  <c r="A6"/>
  <c r="A15"/>
  <c r="A7"/>
  <c r="A16"/>
  <c r="A12"/>
  <c r="A8"/>
  <c r="A13"/>
  <c r="A9"/>
  <c r="A5"/>
  <c r="C25" i="9"/>
  <c r="AC5" i="10" s="1"/>
  <c r="C2" i="13"/>
  <c r="C2" i="14" s="1"/>
  <c r="R3" i="12"/>
  <c r="Z3" s="1"/>
  <c r="B13" i="14"/>
  <c r="B21" s="1"/>
  <c r="M3" i="12"/>
  <c r="U3" s="1"/>
  <c r="B8" i="14"/>
  <c r="B16" s="1"/>
  <c r="N3" i="12"/>
  <c r="V3" s="1"/>
  <c r="B9" i="14"/>
  <c r="B17" s="1"/>
  <c r="K3" i="12"/>
  <c r="Y5" i="10"/>
  <c r="E5"/>
  <c r="N5" s="1"/>
  <c r="P5" s="1"/>
  <c r="Q5" s="1"/>
  <c r="T5"/>
  <c r="A18" i="12"/>
  <c r="A23"/>
  <c r="A26"/>
  <c r="A27"/>
  <c r="A19"/>
  <c r="T6" i="10"/>
  <c r="B6" i="12"/>
  <c r="AM6" s="1"/>
  <c r="A24"/>
  <c r="A20"/>
  <c r="A25"/>
  <c r="A21"/>
  <c r="A17"/>
  <c r="D2" i="13"/>
  <c r="D2" i="14" s="1"/>
  <c r="AC3" i="12"/>
  <c r="AD3"/>
  <c r="I6" i="10"/>
  <c r="L6"/>
  <c r="K6"/>
  <c r="J6"/>
  <c r="M6"/>
  <c r="H6"/>
  <c r="G6"/>
  <c r="C6"/>
  <c r="AQ4"/>
  <c r="AX4"/>
  <c r="X6"/>
  <c r="B7"/>
  <c r="AJ6" i="12" l="1"/>
  <c r="AP6"/>
  <c r="AG6"/>
  <c r="AV6"/>
  <c r="AS6"/>
  <c r="AC55" i="10"/>
  <c r="AC119"/>
  <c r="AC23"/>
  <c r="AC87"/>
  <c r="AC32"/>
  <c r="AC64"/>
  <c r="AC7"/>
  <c r="AC39"/>
  <c r="AC71"/>
  <c r="AC103"/>
  <c r="AC16"/>
  <c r="AC48"/>
  <c r="AC96"/>
  <c r="AC15"/>
  <c r="AC31"/>
  <c r="AC47"/>
  <c r="AC63"/>
  <c r="AC79"/>
  <c r="AC95"/>
  <c r="AC111"/>
  <c r="AC8"/>
  <c r="AC24"/>
  <c r="AC40"/>
  <c r="AC56"/>
  <c r="AC80"/>
  <c r="AC112"/>
  <c r="AC11"/>
  <c r="AC19"/>
  <c r="AC27"/>
  <c r="AC35"/>
  <c r="AC43"/>
  <c r="AC51"/>
  <c r="AC59"/>
  <c r="AC67"/>
  <c r="AC75"/>
  <c r="AC83"/>
  <c r="AC91"/>
  <c r="AC99"/>
  <c r="AC107"/>
  <c r="AC115"/>
  <c r="AC123"/>
  <c r="AC12"/>
  <c r="AC20"/>
  <c r="AC28"/>
  <c r="AC36"/>
  <c r="AC44"/>
  <c r="AC52"/>
  <c r="AC60"/>
  <c r="AC72"/>
  <c r="AC88"/>
  <c r="AC104"/>
  <c r="AC120"/>
  <c r="AC68"/>
  <c r="AC76"/>
  <c r="AC84"/>
  <c r="AC92"/>
  <c r="AC100"/>
  <c r="AC108"/>
  <c r="AC116"/>
  <c r="AC124"/>
  <c r="AC9"/>
  <c r="AC13"/>
  <c r="AC17"/>
  <c r="AC21"/>
  <c r="AC25"/>
  <c r="AC29"/>
  <c r="AC33"/>
  <c r="AC37"/>
  <c r="AC41"/>
  <c r="AC45"/>
  <c r="AC49"/>
  <c r="AC53"/>
  <c r="AC57"/>
  <c r="AC61"/>
  <c r="AC65"/>
  <c r="AC69"/>
  <c r="AC73"/>
  <c r="AC77"/>
  <c r="AC81"/>
  <c r="AC85"/>
  <c r="AC89"/>
  <c r="AC93"/>
  <c r="AC97"/>
  <c r="AC101"/>
  <c r="AC105"/>
  <c r="AC109"/>
  <c r="AC113"/>
  <c r="AC117"/>
  <c r="AC121"/>
  <c r="AC6"/>
  <c r="AC10"/>
  <c r="AC14"/>
  <c r="AC18"/>
  <c r="AC22"/>
  <c r="AC26"/>
  <c r="AC30"/>
  <c r="AC34"/>
  <c r="AC38"/>
  <c r="AC42"/>
  <c r="AC46"/>
  <c r="AC50"/>
  <c r="AC54"/>
  <c r="AC58"/>
  <c r="AC62"/>
  <c r="AC66"/>
  <c r="AC70"/>
  <c r="AC74"/>
  <c r="AC78"/>
  <c r="AC82"/>
  <c r="AC86"/>
  <c r="AC90"/>
  <c r="AC94"/>
  <c r="AC98"/>
  <c r="AC102"/>
  <c r="AC106"/>
  <c r="AC110"/>
  <c r="AC114"/>
  <c r="AC118"/>
  <c r="AC122"/>
  <c r="AD5" i="12"/>
  <c r="AD6" s="1"/>
  <c r="AL5"/>
  <c r="AO5"/>
  <c r="AI5"/>
  <c r="AU5"/>
  <c r="AR5"/>
  <c r="AF5"/>
  <c r="A26" i="14"/>
  <c r="AC5" i="12"/>
  <c r="B14" i="14"/>
  <c r="B22" s="1"/>
  <c r="S3" i="12"/>
  <c r="AA3" s="1"/>
  <c r="Y6" i="10"/>
  <c r="V5"/>
  <c r="V6" s="1"/>
  <c r="B60" i="13"/>
  <c r="B7" i="12"/>
  <c r="AM7" s="1"/>
  <c r="AU4"/>
  <c r="AO4"/>
  <c r="AI4"/>
  <c r="AC4"/>
  <c r="AR4"/>
  <c r="AL4"/>
  <c r="AF4"/>
  <c r="A29"/>
  <c r="AQ5" i="10"/>
  <c r="D4" i="12"/>
  <c r="O7" i="10"/>
  <c r="M7"/>
  <c r="I7"/>
  <c r="L7"/>
  <c r="K7"/>
  <c r="J7"/>
  <c r="H7"/>
  <c r="G7"/>
  <c r="D6"/>
  <c r="C7"/>
  <c r="X7"/>
  <c r="B8"/>
  <c r="AV7" i="12" l="1"/>
  <c r="AP7"/>
  <c r="AD7"/>
  <c r="AS7"/>
  <c r="AG7"/>
  <c r="AJ7"/>
  <c r="B6" i="14"/>
  <c r="K39" i="13"/>
  <c r="G39"/>
  <c r="C39"/>
  <c r="I39"/>
  <c r="E39"/>
  <c r="J39"/>
  <c r="H39"/>
  <c r="F39"/>
  <c r="D39"/>
  <c r="L39"/>
  <c r="B28" i="14"/>
  <c r="B36"/>
  <c r="B30"/>
  <c r="B38"/>
  <c r="B32"/>
  <c r="B26"/>
  <c r="B34"/>
  <c r="Y7" i="10"/>
  <c r="T7"/>
  <c r="E6"/>
  <c r="B68" i="13"/>
  <c r="B62"/>
  <c r="T8" i="10"/>
  <c r="B8" i="12"/>
  <c r="AM8" s="1"/>
  <c r="A30"/>
  <c r="D7" i="10"/>
  <c r="E7" s="1"/>
  <c r="C8"/>
  <c r="I8"/>
  <c r="L8"/>
  <c r="K8"/>
  <c r="J8"/>
  <c r="H8"/>
  <c r="G8"/>
  <c r="X8"/>
  <c r="B9"/>
  <c r="AJ8" i="12" l="1"/>
  <c r="AS8"/>
  <c r="AP8"/>
  <c r="AG8"/>
  <c r="AD8"/>
  <c r="AV8"/>
  <c r="B70" i="13"/>
  <c r="Y8" i="10"/>
  <c r="V7"/>
  <c r="V8" s="1"/>
  <c r="O6"/>
  <c r="N6"/>
  <c r="B9" i="12"/>
  <c r="AM9" s="1"/>
  <c r="A31"/>
  <c r="I9" i="10"/>
  <c r="O9"/>
  <c r="L9"/>
  <c r="K9"/>
  <c r="J9"/>
  <c r="H9"/>
  <c r="G9"/>
  <c r="D8"/>
  <c r="C9"/>
  <c r="N7"/>
  <c r="P7" s="1"/>
  <c r="Q7" s="1"/>
  <c r="X9"/>
  <c r="B10"/>
  <c r="AV9" i="12" l="1"/>
  <c r="AG9"/>
  <c r="AS9"/>
  <c r="AD9"/>
  <c r="AP9"/>
  <c r="AJ9"/>
  <c r="Y9" i="10"/>
  <c r="AL7" i="12"/>
  <c r="AO7"/>
  <c r="AU7"/>
  <c r="AR7"/>
  <c r="AI7"/>
  <c r="AF7"/>
  <c r="AC7"/>
  <c r="E8" i="10"/>
  <c r="M8" s="1"/>
  <c r="T9"/>
  <c r="P6"/>
  <c r="Q6" s="1"/>
  <c r="T10"/>
  <c r="B10" i="12"/>
  <c r="AM10" s="1"/>
  <c r="A32"/>
  <c r="AQ7" i="10"/>
  <c r="C10"/>
  <c r="D9"/>
  <c r="E9" s="1"/>
  <c r="M9" s="1"/>
  <c r="I10"/>
  <c r="O10"/>
  <c r="L10"/>
  <c r="K10"/>
  <c r="J10"/>
  <c r="H10"/>
  <c r="G10"/>
  <c r="O8"/>
  <c r="X10"/>
  <c r="B11"/>
  <c r="AJ10" i="12" l="1"/>
  <c r="AD10"/>
  <c r="AG10"/>
  <c r="AP10"/>
  <c r="AS10"/>
  <c r="AV10"/>
  <c r="Y10" i="10"/>
  <c r="N8"/>
  <c r="AL6" i="12"/>
  <c r="AO6"/>
  <c r="AI6"/>
  <c r="AU6"/>
  <c r="AR6"/>
  <c r="AF6"/>
  <c r="AC6"/>
  <c r="V9" i="10"/>
  <c r="V10" s="1"/>
  <c r="AQ6"/>
  <c r="T11"/>
  <c r="B11" i="12"/>
  <c r="AM11" s="1"/>
  <c r="A33"/>
  <c r="N9" i="10"/>
  <c r="D10"/>
  <c r="E10" s="1"/>
  <c r="M10" s="1"/>
  <c r="C11"/>
  <c r="I11"/>
  <c r="O11"/>
  <c r="L11"/>
  <c r="K11"/>
  <c r="J11"/>
  <c r="H11"/>
  <c r="G11"/>
  <c r="X11"/>
  <c r="Y11" s="1"/>
  <c r="P8"/>
  <c r="Q8" s="1"/>
  <c r="B12"/>
  <c r="AV11" i="12" l="1"/>
  <c r="AP11"/>
  <c r="AD11"/>
  <c r="AS11"/>
  <c r="AG11"/>
  <c r="AJ11"/>
  <c r="N10" i="10"/>
  <c r="AL8" i="12"/>
  <c r="AO8"/>
  <c r="AU8"/>
  <c r="AR8"/>
  <c r="AI8"/>
  <c r="AF8"/>
  <c r="AC8"/>
  <c r="V11" i="10"/>
  <c r="T12"/>
  <c r="B12" i="12"/>
  <c r="AM12" s="1"/>
  <c r="A34"/>
  <c r="AQ8" i="10"/>
  <c r="I12"/>
  <c r="O12"/>
  <c r="L12"/>
  <c r="K12"/>
  <c r="J12"/>
  <c r="H12"/>
  <c r="G12"/>
  <c r="D11"/>
  <c r="E11" s="1"/>
  <c r="M11" s="1"/>
  <c r="C12"/>
  <c r="X12"/>
  <c r="Y12" s="1"/>
  <c r="P9"/>
  <c r="Q9" s="1"/>
  <c r="B13"/>
  <c r="AJ12" i="12" l="1"/>
  <c r="AS12"/>
  <c r="AP12"/>
  <c r="AG12"/>
  <c r="AD12"/>
  <c r="AV12"/>
  <c r="V12" i="10"/>
  <c r="AL9" i="12"/>
  <c r="AO9"/>
  <c r="AI9"/>
  <c r="AU9"/>
  <c r="AR9"/>
  <c r="AF9"/>
  <c r="AC9"/>
  <c r="T13" i="10"/>
  <c r="V13" s="1"/>
  <c r="B13" i="12"/>
  <c r="AM13" s="1"/>
  <c r="A35"/>
  <c r="AQ9" i="10"/>
  <c r="N11"/>
  <c r="C13"/>
  <c r="D12"/>
  <c r="E12" s="1"/>
  <c r="I13"/>
  <c r="O13"/>
  <c r="L13"/>
  <c r="K13"/>
  <c r="J13"/>
  <c r="H13"/>
  <c r="G13"/>
  <c r="X13"/>
  <c r="Y13" s="1"/>
  <c r="P10"/>
  <c r="Q10" s="1"/>
  <c r="B14"/>
  <c r="AD13" i="12" l="1"/>
  <c r="AV13"/>
  <c r="AG13"/>
  <c r="AS13"/>
  <c r="AP13"/>
  <c r="AJ13"/>
  <c r="AL10"/>
  <c r="AO10"/>
  <c r="AI10"/>
  <c r="AU10"/>
  <c r="AR10"/>
  <c r="AF10"/>
  <c r="AC10"/>
  <c r="T14" i="10"/>
  <c r="V14" s="1"/>
  <c r="B14" i="12"/>
  <c r="AM14" s="1"/>
  <c r="A36"/>
  <c r="AQ10" i="10"/>
  <c r="D13"/>
  <c r="E13" s="1"/>
  <c r="C14"/>
  <c r="I14"/>
  <c r="O14"/>
  <c r="L14"/>
  <c r="K14"/>
  <c r="J14"/>
  <c r="H14"/>
  <c r="G14"/>
  <c r="N12"/>
  <c r="M12"/>
  <c r="X14"/>
  <c r="Y14" s="1"/>
  <c r="P11"/>
  <c r="Q11" s="1"/>
  <c r="B15"/>
  <c r="AJ14" i="12" l="1"/>
  <c r="AD14"/>
  <c r="AG14"/>
  <c r="AP14"/>
  <c r="AS14"/>
  <c r="AV14"/>
  <c r="AL11"/>
  <c r="AO11"/>
  <c r="AU11"/>
  <c r="AR11"/>
  <c r="AI11"/>
  <c r="AF11"/>
  <c r="AC11"/>
  <c r="T15" i="10"/>
  <c r="V15" s="1"/>
  <c r="B15" i="12"/>
  <c r="AM15" s="1"/>
  <c r="A37"/>
  <c r="AQ11" i="10"/>
  <c r="I15"/>
  <c r="O15"/>
  <c r="L15"/>
  <c r="K15"/>
  <c r="J15"/>
  <c r="H15"/>
  <c r="G15"/>
  <c r="D14"/>
  <c r="E14" s="1"/>
  <c r="C15"/>
  <c r="N13"/>
  <c r="M13"/>
  <c r="X15"/>
  <c r="Y15" s="1"/>
  <c r="P12"/>
  <c r="Q12" s="1"/>
  <c r="B16"/>
  <c r="AV15" i="12" l="1"/>
  <c r="AP15"/>
  <c r="AD15"/>
  <c r="AS15"/>
  <c r="AG15"/>
  <c r="AJ15"/>
  <c r="AL12"/>
  <c r="AO12"/>
  <c r="AU12"/>
  <c r="AR12"/>
  <c r="AI12"/>
  <c r="AF12"/>
  <c r="AC12"/>
  <c r="B16"/>
  <c r="AM16" s="1"/>
  <c r="A38"/>
  <c r="AQ12" i="10"/>
  <c r="I16"/>
  <c r="O16"/>
  <c r="L16"/>
  <c r="K16"/>
  <c r="J16"/>
  <c r="H16"/>
  <c r="G16"/>
  <c r="C16"/>
  <c r="D15"/>
  <c r="E15" s="1"/>
  <c r="N14"/>
  <c r="M14"/>
  <c r="X16"/>
  <c r="P13"/>
  <c r="Q13" s="1"/>
  <c r="B17"/>
  <c r="AG16" i="12" l="1"/>
  <c r="AJ16"/>
  <c r="AS16"/>
  <c r="AP16"/>
  <c r="AD16"/>
  <c r="AV16"/>
  <c r="AL13"/>
  <c r="AO13"/>
  <c r="AI13"/>
  <c r="AU13"/>
  <c r="AR13"/>
  <c r="AF13"/>
  <c r="AC13"/>
  <c r="Y16" i="10"/>
  <c r="C33" i="13"/>
  <c r="C13"/>
  <c r="C16"/>
  <c r="C20"/>
  <c r="T16" i="10"/>
  <c r="C26" i="13"/>
  <c r="C6"/>
  <c r="C12"/>
  <c r="C15"/>
  <c r="C17"/>
  <c r="C14"/>
  <c r="B17" i="12"/>
  <c r="AM17" s="1"/>
  <c r="A39"/>
  <c r="AQ13" i="10"/>
  <c r="I17"/>
  <c r="O17"/>
  <c r="L17"/>
  <c r="K17"/>
  <c r="J17"/>
  <c r="H17"/>
  <c r="G17"/>
  <c r="D16"/>
  <c r="C17"/>
  <c r="N15"/>
  <c r="M15"/>
  <c r="X17"/>
  <c r="P14"/>
  <c r="Q14" s="1"/>
  <c r="B18"/>
  <c r="AD17" i="12" l="1"/>
  <c r="AV17"/>
  <c r="AG17"/>
  <c r="AS17"/>
  <c r="AP17"/>
  <c r="AJ17"/>
  <c r="AL14"/>
  <c r="AO14"/>
  <c r="AI14"/>
  <c r="AU14"/>
  <c r="AR14"/>
  <c r="AF14"/>
  <c r="AC14"/>
  <c r="Y17" i="10"/>
  <c r="E16"/>
  <c r="N16" s="1"/>
  <c r="C7" i="13"/>
  <c r="C9" s="1"/>
  <c r="T17" i="10"/>
  <c r="C34" i="13"/>
  <c r="V16" i="10"/>
  <c r="C27" i="13"/>
  <c r="C28" s="1"/>
  <c r="T18" i="10"/>
  <c r="B18" i="12"/>
  <c r="AM18" s="1"/>
  <c r="E2" i="13"/>
  <c r="A40" i="12"/>
  <c r="AQ14" i="10"/>
  <c r="K18"/>
  <c r="J18"/>
  <c r="H18"/>
  <c r="G18"/>
  <c r="D17"/>
  <c r="C18"/>
  <c r="L18"/>
  <c r="I18"/>
  <c r="X18"/>
  <c r="P15"/>
  <c r="Q15" s="1"/>
  <c r="B19"/>
  <c r="AP18" i="12" l="1"/>
  <c r="AJ18"/>
  <c r="AD18"/>
  <c r="AG18"/>
  <c r="AS18"/>
  <c r="AV18"/>
  <c r="M16" i="10"/>
  <c r="E2" i="14"/>
  <c r="AL15" i="12"/>
  <c r="AO15"/>
  <c r="AU15"/>
  <c r="AR15"/>
  <c r="AI15"/>
  <c r="AF15"/>
  <c r="AC15"/>
  <c r="Y18" i="10"/>
  <c r="C18" i="13"/>
  <c r="C19"/>
  <c r="E17" i="10"/>
  <c r="M17" s="1"/>
  <c r="C30" i="13"/>
  <c r="V17" i="10"/>
  <c r="V18" s="1"/>
  <c r="T19"/>
  <c r="B19" i="12"/>
  <c r="AM19" s="1"/>
  <c r="A41"/>
  <c r="AQ15" i="10"/>
  <c r="C19"/>
  <c r="D18"/>
  <c r="E18" s="1"/>
  <c r="O18" s="1"/>
  <c r="I19"/>
  <c r="O19"/>
  <c r="K19"/>
  <c r="J19"/>
  <c r="H19"/>
  <c r="G19"/>
  <c r="L19"/>
  <c r="N17"/>
  <c r="X19"/>
  <c r="P16"/>
  <c r="Q16" s="1"/>
  <c r="B20"/>
  <c r="AV19" i="12" l="1"/>
  <c r="AP19"/>
  <c r="AD19"/>
  <c r="AS19"/>
  <c r="AG19"/>
  <c r="AJ19"/>
  <c r="AM16" i="10"/>
  <c r="AN16"/>
  <c r="Y19"/>
  <c r="AL16" i="12"/>
  <c r="C32" i="14" s="1"/>
  <c r="AO16" i="12"/>
  <c r="C34" i="14" s="1"/>
  <c r="AU16" i="12"/>
  <c r="C38" i="14" s="1"/>
  <c r="AR16" i="12"/>
  <c r="C36" i="14" s="1"/>
  <c r="AI16" i="12"/>
  <c r="C30" i="14" s="1"/>
  <c r="AF16" i="12"/>
  <c r="C28" i="14" s="1"/>
  <c r="AC16" i="12"/>
  <c r="C26" i="14" s="1"/>
  <c r="AO16" i="10"/>
  <c r="V19"/>
  <c r="C21" i="13"/>
  <c r="C23" s="1"/>
  <c r="T20" i="10"/>
  <c r="B20" i="12"/>
  <c r="AM20" s="1"/>
  <c r="A42"/>
  <c r="AQ16" i="10"/>
  <c r="L20"/>
  <c r="K20"/>
  <c r="J20"/>
  <c r="H20"/>
  <c r="G20"/>
  <c r="C20"/>
  <c r="D19"/>
  <c r="E19" s="1"/>
  <c r="I20"/>
  <c r="N18"/>
  <c r="M18"/>
  <c r="X20"/>
  <c r="Y20" s="1"/>
  <c r="P17"/>
  <c r="Q17" s="1"/>
  <c r="B21"/>
  <c r="AJ20" i="12" l="1"/>
  <c r="AS20"/>
  <c r="AP20"/>
  <c r="AG20"/>
  <c r="AD20"/>
  <c r="AV20"/>
  <c r="V20" i="10"/>
  <c r="AM17"/>
  <c r="AN17"/>
  <c r="C57" i="13"/>
  <c r="C56"/>
  <c r="C55"/>
  <c r="AL17" i="12"/>
  <c r="AO17"/>
  <c r="AI17"/>
  <c r="AU17"/>
  <c r="AR17"/>
  <c r="AF17"/>
  <c r="AC17"/>
  <c r="AO17" i="10"/>
  <c r="H5" i="12"/>
  <c r="P5" s="1"/>
  <c r="X5" s="1"/>
  <c r="J5"/>
  <c r="R5" s="1"/>
  <c r="Z5" s="1"/>
  <c r="G5"/>
  <c r="O5" s="1"/>
  <c r="W5" s="1"/>
  <c r="K5"/>
  <c r="S5" s="1"/>
  <c r="AA5" s="1"/>
  <c r="I5"/>
  <c r="Q5" s="1"/>
  <c r="Y5" s="1"/>
  <c r="F5"/>
  <c r="N5" s="1"/>
  <c r="V5" s="1"/>
  <c r="E5"/>
  <c r="M5" s="1"/>
  <c r="U5" s="1"/>
  <c r="C60" i="13"/>
  <c r="C6" i="14" s="1"/>
  <c r="T21" i="10"/>
  <c r="V21" s="1"/>
  <c r="B21" i="12"/>
  <c r="AM21" s="1"/>
  <c r="A43"/>
  <c r="AQ17" i="10"/>
  <c r="L21"/>
  <c r="Z5"/>
  <c r="AA5" s="1"/>
  <c r="AW5" i="12" s="1"/>
  <c r="BE5" s="1"/>
  <c r="BM5" s="1"/>
  <c r="O21" i="10"/>
  <c r="K21"/>
  <c r="J21"/>
  <c r="H21"/>
  <c r="G21"/>
  <c r="I21"/>
  <c r="D20"/>
  <c r="E20" s="1"/>
  <c r="C21"/>
  <c r="N19"/>
  <c r="M19"/>
  <c r="X21"/>
  <c r="Y21" s="1"/>
  <c r="P18"/>
  <c r="Q18" s="1"/>
  <c r="B22"/>
  <c r="AD21" i="12" l="1"/>
  <c r="AP21"/>
  <c r="AJ21"/>
  <c r="AV21"/>
  <c r="AG21"/>
  <c r="AS21"/>
  <c r="AN18" i="10"/>
  <c r="AM18"/>
  <c r="AL18" i="12"/>
  <c r="AO18"/>
  <c r="AI18"/>
  <c r="AU18"/>
  <c r="AR18"/>
  <c r="AF18"/>
  <c r="AC18"/>
  <c r="AO18" i="10"/>
  <c r="E6" i="12"/>
  <c r="H6"/>
  <c r="G6"/>
  <c r="K6"/>
  <c r="I6"/>
  <c r="J6"/>
  <c r="F6"/>
  <c r="C62" i="13"/>
  <c r="B22" i="12"/>
  <c r="AP22" s="1"/>
  <c r="L22" i="10"/>
  <c r="A44" i="12"/>
  <c r="AQ18" i="10"/>
  <c r="AQ5" i="12"/>
  <c r="BC5" s="1"/>
  <c r="BK5" s="1"/>
  <c r="AT5"/>
  <c r="BD5" s="1"/>
  <c r="BL5" s="1"/>
  <c r="AK5"/>
  <c r="BA5" s="1"/>
  <c r="BI5" s="1"/>
  <c r="AN5"/>
  <c r="BB5" s="1"/>
  <c r="BJ5" s="1"/>
  <c r="AE5"/>
  <c r="AY5" s="1"/>
  <c r="BG5" s="1"/>
  <c r="AH5"/>
  <c r="AZ5" s="1"/>
  <c r="BH5" s="1"/>
  <c r="AF5" i="10"/>
  <c r="AG5" s="1"/>
  <c r="Z6"/>
  <c r="AA6" s="1"/>
  <c r="AW6" i="12" s="1"/>
  <c r="BE6" s="1"/>
  <c r="BM6" s="1"/>
  <c r="C22" i="10"/>
  <c r="D21"/>
  <c r="E21" s="1"/>
  <c r="O22"/>
  <c r="K22"/>
  <c r="J22"/>
  <c r="H22"/>
  <c r="G22"/>
  <c r="I22"/>
  <c r="O20"/>
  <c r="N20"/>
  <c r="M20"/>
  <c r="X22"/>
  <c r="Y22" s="1"/>
  <c r="P19"/>
  <c r="Q19" s="1"/>
  <c r="B23"/>
  <c r="AJ22" i="12" l="1"/>
  <c r="AS22"/>
  <c r="AV22"/>
  <c r="AM22"/>
  <c r="AD22"/>
  <c r="AG22"/>
  <c r="AM19" i="10"/>
  <c r="AN19"/>
  <c r="AL19" i="12"/>
  <c r="AO19"/>
  <c r="AU19"/>
  <c r="AR19"/>
  <c r="AI19"/>
  <c r="AF19"/>
  <c r="AC19"/>
  <c r="AO19" i="10"/>
  <c r="H7" i="12"/>
  <c r="K7"/>
  <c r="I7"/>
  <c r="F7"/>
  <c r="J7"/>
  <c r="G7"/>
  <c r="E7"/>
  <c r="T22" i="10"/>
  <c r="L23"/>
  <c r="T23"/>
  <c r="B23" i="12"/>
  <c r="AP23" s="1"/>
  <c r="A45"/>
  <c r="AQ19" i="10"/>
  <c r="AQ6" i="12"/>
  <c r="BC6" s="1"/>
  <c r="BK6" s="1"/>
  <c r="AT6"/>
  <c r="BD6" s="1"/>
  <c r="BL6" s="1"/>
  <c r="AK6"/>
  <c r="BA6" s="1"/>
  <c r="BI6" s="1"/>
  <c r="AN6"/>
  <c r="BB6" s="1"/>
  <c r="BJ6" s="1"/>
  <c r="AE6"/>
  <c r="AY6" s="1"/>
  <c r="BG6" s="1"/>
  <c r="AH6"/>
  <c r="AZ6" s="1"/>
  <c r="BH6" s="1"/>
  <c r="AF6" i="10"/>
  <c r="AG6" s="1"/>
  <c r="AH6" s="1"/>
  <c r="AJ6" s="1"/>
  <c r="Z7"/>
  <c r="AA7" s="1"/>
  <c r="AW7" i="12" s="1"/>
  <c r="BE7" s="1"/>
  <c r="BM7" s="1"/>
  <c r="O23" i="10"/>
  <c r="K23"/>
  <c r="J23"/>
  <c r="H23"/>
  <c r="G23"/>
  <c r="D22"/>
  <c r="E22" s="1"/>
  <c r="C23"/>
  <c r="I23"/>
  <c r="N21"/>
  <c r="M21"/>
  <c r="X23"/>
  <c r="Y23" s="1"/>
  <c r="AH5"/>
  <c r="AJ5" s="1"/>
  <c r="B24"/>
  <c r="P20"/>
  <c r="Q20" s="1"/>
  <c r="AG23" i="12" l="1"/>
  <c r="AM23"/>
  <c r="AS23"/>
  <c r="AD23"/>
  <c r="AV23"/>
  <c r="AJ23"/>
  <c r="AN20" i="10"/>
  <c r="AM20"/>
  <c r="AL20" i="12"/>
  <c r="AO20"/>
  <c r="AU20"/>
  <c r="AR20"/>
  <c r="AI20"/>
  <c r="AF20"/>
  <c r="AC20"/>
  <c r="AO20" i="10"/>
  <c r="H8" i="12"/>
  <c r="J8"/>
  <c r="F8"/>
  <c r="K8"/>
  <c r="I8"/>
  <c r="G8"/>
  <c r="E8"/>
  <c r="V22" i="10"/>
  <c r="V23" s="1"/>
  <c r="L24"/>
  <c r="T24"/>
  <c r="B24" i="12"/>
  <c r="AP24" s="1"/>
  <c r="A46"/>
  <c r="AQ20" i="10"/>
  <c r="AQ7" i="12"/>
  <c r="BC7" s="1"/>
  <c r="BK7" s="1"/>
  <c r="AT7"/>
  <c r="BD7" s="1"/>
  <c r="BL7" s="1"/>
  <c r="AK7"/>
  <c r="BA7" s="1"/>
  <c r="BI7" s="1"/>
  <c r="AN7"/>
  <c r="BB7" s="1"/>
  <c r="BJ7" s="1"/>
  <c r="AE7"/>
  <c r="AY7" s="1"/>
  <c r="BG7" s="1"/>
  <c r="AH7"/>
  <c r="AZ7" s="1"/>
  <c r="BH7" s="1"/>
  <c r="AF7" i="10"/>
  <c r="AG7" s="1"/>
  <c r="AH7" s="1"/>
  <c r="AJ7" s="1"/>
  <c r="Z8"/>
  <c r="AA8" s="1"/>
  <c r="AW8" i="12" s="1"/>
  <c r="BE8" s="1"/>
  <c r="BM8" s="1"/>
  <c r="C24" i="10"/>
  <c r="D23"/>
  <c r="E23" s="1"/>
  <c r="I24"/>
  <c r="B25"/>
  <c r="B26" s="1"/>
  <c r="O24"/>
  <c r="K24"/>
  <c r="J24"/>
  <c r="H24"/>
  <c r="G24"/>
  <c r="N22"/>
  <c r="M22"/>
  <c r="X24"/>
  <c r="P21"/>
  <c r="Q21" s="1"/>
  <c r="AJ24" i="12" l="1"/>
  <c r="AD24"/>
  <c r="AG24"/>
  <c r="AM24"/>
  <c r="AV24"/>
  <c r="AS24"/>
  <c r="AM21" i="10"/>
  <c r="AN21"/>
  <c r="AL21" i="12"/>
  <c r="AO21"/>
  <c r="AI21"/>
  <c r="AU21"/>
  <c r="AR21"/>
  <c r="AF21"/>
  <c r="AC21"/>
  <c r="AO21" i="10"/>
  <c r="V24"/>
  <c r="G9" i="12"/>
  <c r="J9"/>
  <c r="K9"/>
  <c r="E9"/>
  <c r="I9"/>
  <c r="H9"/>
  <c r="F9"/>
  <c r="T26" i="10"/>
  <c r="B26" i="12"/>
  <c r="X25" i="10"/>
  <c r="X26" s="1"/>
  <c r="I25"/>
  <c r="T25"/>
  <c r="V25" s="1"/>
  <c r="B25" i="12"/>
  <c r="AP25" s="1"/>
  <c r="AP26" s="1"/>
  <c r="A47"/>
  <c r="AQ21" i="10"/>
  <c r="AQ8" i="12"/>
  <c r="BC8" s="1"/>
  <c r="BK8" s="1"/>
  <c r="AT8"/>
  <c r="BD8" s="1"/>
  <c r="BL8" s="1"/>
  <c r="AK8"/>
  <c r="BA8" s="1"/>
  <c r="BI8" s="1"/>
  <c r="AN8"/>
  <c r="BB8" s="1"/>
  <c r="BJ8" s="1"/>
  <c r="AE8"/>
  <c r="AY8" s="1"/>
  <c r="BG8" s="1"/>
  <c r="AH8"/>
  <c r="AZ8" s="1"/>
  <c r="BH8" s="1"/>
  <c r="AF8" i="10"/>
  <c r="AG8" s="1"/>
  <c r="AH8" s="1"/>
  <c r="AJ8" s="1"/>
  <c r="Y24"/>
  <c r="Z9"/>
  <c r="AA9" s="1"/>
  <c r="AW9" i="12" s="1"/>
  <c r="BE9" s="1"/>
  <c r="BM9" s="1"/>
  <c r="O26" i="10"/>
  <c r="K26"/>
  <c r="J26"/>
  <c r="H26"/>
  <c r="G26"/>
  <c r="O25"/>
  <c r="K25"/>
  <c r="J25"/>
  <c r="H25"/>
  <c r="G25"/>
  <c r="L25"/>
  <c r="L26" s="1"/>
  <c r="D24"/>
  <c r="E24" s="1"/>
  <c r="C25"/>
  <c r="I26"/>
  <c r="N23"/>
  <c r="M23"/>
  <c r="P22"/>
  <c r="Q22" s="1"/>
  <c r="F10" i="12" s="1"/>
  <c r="B27" i="10"/>
  <c r="AS25" i="12" l="1"/>
  <c r="AS26" s="1"/>
  <c r="AM25"/>
  <c r="AM26" s="1"/>
  <c r="AD25"/>
  <c r="AD26" s="1"/>
  <c r="AV25"/>
  <c r="AV26" s="1"/>
  <c r="AG25"/>
  <c r="AG26" s="1"/>
  <c r="AJ25"/>
  <c r="AJ26" s="1"/>
  <c r="AM22" i="10"/>
  <c r="AN22"/>
  <c r="AL22" i="12"/>
  <c r="AO22"/>
  <c r="AI22"/>
  <c r="AU22"/>
  <c r="AR22"/>
  <c r="AF22"/>
  <c r="AC22"/>
  <c r="AO22" i="10"/>
  <c r="K10" i="12"/>
  <c r="J10"/>
  <c r="G10"/>
  <c r="E10"/>
  <c r="H10"/>
  <c r="I10"/>
  <c r="Y25" i="10"/>
  <c r="Y26" s="1"/>
  <c r="V26"/>
  <c r="T27"/>
  <c r="B27" i="12"/>
  <c r="AP27" s="1"/>
  <c r="A48"/>
  <c r="AQ22" i="10"/>
  <c r="AQ9" i="12"/>
  <c r="BC9" s="1"/>
  <c r="BK9" s="1"/>
  <c r="AT9"/>
  <c r="BD9" s="1"/>
  <c r="BL9" s="1"/>
  <c r="AK9"/>
  <c r="BA9" s="1"/>
  <c r="BI9" s="1"/>
  <c r="AN9"/>
  <c r="BB9" s="1"/>
  <c r="BJ9" s="1"/>
  <c r="AE9"/>
  <c r="AY9" s="1"/>
  <c r="BG9" s="1"/>
  <c r="AH9"/>
  <c r="AZ9" s="1"/>
  <c r="BH9" s="1"/>
  <c r="AF9" i="10"/>
  <c r="AG9" s="1"/>
  <c r="AH9" s="1"/>
  <c r="AJ9" s="1"/>
  <c r="Z10"/>
  <c r="AA10" s="1"/>
  <c r="AW10" i="12" s="1"/>
  <c r="BE10" s="1"/>
  <c r="BM10" s="1"/>
  <c r="O27" i="10"/>
  <c r="K27"/>
  <c r="J27"/>
  <c r="H27"/>
  <c r="G27"/>
  <c r="D25"/>
  <c r="E25" s="1"/>
  <c r="C26"/>
  <c r="L27"/>
  <c r="I27"/>
  <c r="N24"/>
  <c r="M24"/>
  <c r="X27"/>
  <c r="P23"/>
  <c r="Q23" s="1"/>
  <c r="B28"/>
  <c r="AJ27" i="12" l="1"/>
  <c r="AV27"/>
  <c r="AM27"/>
  <c r="AG27"/>
  <c r="AD27"/>
  <c r="AS27"/>
  <c r="AN23" i="10"/>
  <c r="AM23"/>
  <c r="AL23" i="12"/>
  <c r="AO23"/>
  <c r="AU23"/>
  <c r="AR23"/>
  <c r="AI23"/>
  <c r="AF23"/>
  <c r="AC23"/>
  <c r="AO23" i="10"/>
  <c r="V27"/>
  <c r="F11" i="12"/>
  <c r="I11"/>
  <c r="J11"/>
  <c r="G11"/>
  <c r="E11"/>
  <c r="K11"/>
  <c r="H11"/>
  <c r="B28"/>
  <c r="AP28" s="1"/>
  <c r="A49"/>
  <c r="AQ23" i="10"/>
  <c r="AQ10" i="12"/>
  <c r="BC10" s="1"/>
  <c r="BK10" s="1"/>
  <c r="AT10"/>
  <c r="BD10" s="1"/>
  <c r="BL10" s="1"/>
  <c r="AK10"/>
  <c r="BA10" s="1"/>
  <c r="BI10" s="1"/>
  <c r="AN10"/>
  <c r="BB10" s="1"/>
  <c r="BJ10" s="1"/>
  <c r="AE10"/>
  <c r="AY10" s="1"/>
  <c r="BG10" s="1"/>
  <c r="AH10"/>
  <c r="AZ10" s="1"/>
  <c r="BH10" s="1"/>
  <c r="AF10" i="10"/>
  <c r="AG10" s="1"/>
  <c r="AH10" s="1"/>
  <c r="AJ10" s="1"/>
  <c r="I28"/>
  <c r="Y27"/>
  <c r="Z11"/>
  <c r="AA11" s="1"/>
  <c r="AW11" i="12" s="1"/>
  <c r="BE11" s="1"/>
  <c r="BM11" s="1"/>
  <c r="O28" i="10"/>
  <c r="K28"/>
  <c r="J28"/>
  <c r="H28"/>
  <c r="G28"/>
  <c r="L28"/>
  <c r="D26"/>
  <c r="E26" s="1"/>
  <c r="C27"/>
  <c r="N25"/>
  <c r="M25"/>
  <c r="X28"/>
  <c r="P24"/>
  <c r="Q24" s="1"/>
  <c r="B29"/>
  <c r="AS28" i="12" l="1"/>
  <c r="AG28"/>
  <c r="AV28"/>
  <c r="AD28"/>
  <c r="AM28"/>
  <c r="AJ28"/>
  <c r="AM24" i="10"/>
  <c r="AN24"/>
  <c r="AL24" i="12"/>
  <c r="AO24"/>
  <c r="AU24"/>
  <c r="AR24"/>
  <c r="AI24"/>
  <c r="AF24"/>
  <c r="AC24"/>
  <c r="AO24" i="10"/>
  <c r="H12" i="12"/>
  <c r="I12"/>
  <c r="G12"/>
  <c r="F12"/>
  <c r="E12"/>
  <c r="J12"/>
  <c r="K12"/>
  <c r="D33" i="13"/>
  <c r="D13"/>
  <c r="D16"/>
  <c r="D14"/>
  <c r="D17"/>
  <c r="D12"/>
  <c r="D15"/>
  <c r="D20"/>
  <c r="T28" i="10"/>
  <c r="D26" i="13"/>
  <c r="B29" i="12"/>
  <c r="AP29" s="1"/>
  <c r="A50"/>
  <c r="AQ24" i="10"/>
  <c r="AQ11" i="12"/>
  <c r="BC11" s="1"/>
  <c r="BK11" s="1"/>
  <c r="AT11"/>
  <c r="BD11" s="1"/>
  <c r="BL11" s="1"/>
  <c r="AK11"/>
  <c r="BA11" s="1"/>
  <c r="BI11" s="1"/>
  <c r="AN11"/>
  <c r="BB11" s="1"/>
  <c r="BJ11" s="1"/>
  <c r="AE11"/>
  <c r="AY11" s="1"/>
  <c r="BG11" s="1"/>
  <c r="AH11"/>
  <c r="AZ11" s="1"/>
  <c r="BH11" s="1"/>
  <c r="AF11" i="10"/>
  <c r="AG11" s="1"/>
  <c r="AH11" s="1"/>
  <c r="AJ11" s="1"/>
  <c r="Y28"/>
  <c r="L29"/>
  <c r="Z12"/>
  <c r="AA12" s="1"/>
  <c r="AW12" i="12" s="1"/>
  <c r="BE12" s="1"/>
  <c r="BM12" s="1"/>
  <c r="D27" i="10"/>
  <c r="E27" s="1"/>
  <c r="C28"/>
  <c r="O29"/>
  <c r="K29"/>
  <c r="J29"/>
  <c r="H29"/>
  <c r="G29"/>
  <c r="I29"/>
  <c r="N26"/>
  <c r="M26"/>
  <c r="X29"/>
  <c r="P25"/>
  <c r="Q25" s="1"/>
  <c r="B30"/>
  <c r="AJ29" i="12" l="1"/>
  <c r="AD29"/>
  <c r="AG29"/>
  <c r="AM29"/>
  <c r="AV29"/>
  <c r="AS29"/>
  <c r="AM25" i="10"/>
  <c r="AN25"/>
  <c r="AL25" i="12"/>
  <c r="AO25"/>
  <c r="AI25"/>
  <c r="AU25"/>
  <c r="AR25"/>
  <c r="AF25"/>
  <c r="AC25"/>
  <c r="AO25" i="10"/>
  <c r="G13" i="12"/>
  <c r="H13"/>
  <c r="F13"/>
  <c r="K13"/>
  <c r="E13"/>
  <c r="J13"/>
  <c r="I13"/>
  <c r="T29" i="10"/>
  <c r="V28"/>
  <c r="D27" i="13"/>
  <c r="D28" s="1"/>
  <c r="D6"/>
  <c r="D34"/>
  <c r="T30" i="10"/>
  <c r="B30" i="12"/>
  <c r="AP30" s="1"/>
  <c r="A51"/>
  <c r="AQ25" i="10"/>
  <c r="AQ12" i="12"/>
  <c r="BC12" s="1"/>
  <c r="BK12" s="1"/>
  <c r="AT12"/>
  <c r="BD12" s="1"/>
  <c r="BL12" s="1"/>
  <c r="AK12"/>
  <c r="BA12" s="1"/>
  <c r="BI12" s="1"/>
  <c r="AN12"/>
  <c r="BB12" s="1"/>
  <c r="BJ12" s="1"/>
  <c r="AE12"/>
  <c r="AY12" s="1"/>
  <c r="BG12" s="1"/>
  <c r="AH12"/>
  <c r="AZ12" s="1"/>
  <c r="BH12" s="1"/>
  <c r="AF12" i="10"/>
  <c r="AG12" s="1"/>
  <c r="AH12" s="1"/>
  <c r="AJ12" s="1"/>
  <c r="L30"/>
  <c r="Y29"/>
  <c r="Z13"/>
  <c r="AA13" s="1"/>
  <c r="AW13" i="12" s="1"/>
  <c r="BE13" s="1"/>
  <c r="BM13" s="1"/>
  <c r="K30" i="10"/>
  <c r="J30"/>
  <c r="H30"/>
  <c r="G30"/>
  <c r="I30"/>
  <c r="C29"/>
  <c r="D28"/>
  <c r="N27"/>
  <c r="M27"/>
  <c r="X30"/>
  <c r="P26"/>
  <c r="Q26" s="1"/>
  <c r="B31"/>
  <c r="AS30" i="12" l="1"/>
  <c r="AM30"/>
  <c r="AD30"/>
  <c r="AV30"/>
  <c r="AG30"/>
  <c r="AJ30"/>
  <c r="AM26" i="10"/>
  <c r="AN26"/>
  <c r="AL26" i="12"/>
  <c r="AO26"/>
  <c r="AI26"/>
  <c r="AU26"/>
  <c r="AR26"/>
  <c r="AF26"/>
  <c r="AC26"/>
  <c r="AO26" i="10"/>
  <c r="J14" i="12"/>
  <c r="H14"/>
  <c r="K14"/>
  <c r="G14"/>
  <c r="E14"/>
  <c r="I14"/>
  <c r="F14"/>
  <c r="E28" i="10"/>
  <c r="N28" s="1"/>
  <c r="D7" i="13"/>
  <c r="D9" s="1"/>
  <c r="D30"/>
  <c r="V29" i="10"/>
  <c r="V30" s="1"/>
  <c r="T31"/>
  <c r="B31" i="12"/>
  <c r="AP31" s="1"/>
  <c r="F2" i="13"/>
  <c r="A52" i="12"/>
  <c r="AQ26" i="10"/>
  <c r="AQ13" i="12"/>
  <c r="BC13" s="1"/>
  <c r="BK13" s="1"/>
  <c r="AT13"/>
  <c r="BD13" s="1"/>
  <c r="BL13" s="1"/>
  <c r="AK13"/>
  <c r="BA13" s="1"/>
  <c r="BI13" s="1"/>
  <c r="AN13"/>
  <c r="BB13" s="1"/>
  <c r="BJ13" s="1"/>
  <c r="AE13"/>
  <c r="AY13" s="1"/>
  <c r="BG13" s="1"/>
  <c r="AH13"/>
  <c r="AZ13" s="1"/>
  <c r="BH13" s="1"/>
  <c r="AF13" i="10"/>
  <c r="AG13" s="1"/>
  <c r="AH13" s="1"/>
  <c r="AJ13" s="1"/>
  <c r="I31"/>
  <c r="Y30"/>
  <c r="Z14"/>
  <c r="AA14" s="1"/>
  <c r="AW14" i="12" s="1"/>
  <c r="BE14" s="1"/>
  <c r="BM14" s="1"/>
  <c r="O31" i="10"/>
  <c r="K31"/>
  <c r="J31"/>
  <c r="H31"/>
  <c r="G31"/>
  <c r="D29"/>
  <c r="C30"/>
  <c r="L31"/>
  <c r="M28"/>
  <c r="X31"/>
  <c r="P27"/>
  <c r="Q27" s="1"/>
  <c r="B32"/>
  <c r="AJ31" i="12" l="1"/>
  <c r="AV31"/>
  <c r="AM31"/>
  <c r="AG31"/>
  <c r="AD31"/>
  <c r="AS31"/>
  <c r="AM27" i="10"/>
  <c r="AN27"/>
  <c r="F2" i="14"/>
  <c r="AL27" i="12"/>
  <c r="AO27"/>
  <c r="AU27"/>
  <c r="AR27"/>
  <c r="AI27"/>
  <c r="AF27"/>
  <c r="AC27"/>
  <c r="AO27" i="10"/>
  <c r="K15" i="12"/>
  <c r="E15"/>
  <c r="J15"/>
  <c r="F15"/>
  <c r="I15"/>
  <c r="G15"/>
  <c r="H15"/>
  <c r="D18" i="13"/>
  <c r="D19"/>
  <c r="V31" i="10"/>
  <c r="E29"/>
  <c r="N29" s="1"/>
  <c r="B32" i="12"/>
  <c r="AP32" s="1"/>
  <c r="A53"/>
  <c r="AQ27" i="10"/>
  <c r="AQ14" i="12"/>
  <c r="BC14" s="1"/>
  <c r="BK14" s="1"/>
  <c r="AT14"/>
  <c r="BD14" s="1"/>
  <c r="BL14" s="1"/>
  <c r="AK14"/>
  <c r="BA14" s="1"/>
  <c r="BI14" s="1"/>
  <c r="AN14"/>
  <c r="BB14" s="1"/>
  <c r="BJ14" s="1"/>
  <c r="AE14"/>
  <c r="AY14" s="1"/>
  <c r="BG14" s="1"/>
  <c r="AH14"/>
  <c r="AZ14" s="1"/>
  <c r="BH14" s="1"/>
  <c r="AF14" i="10"/>
  <c r="AG14" s="1"/>
  <c r="AH14" s="1"/>
  <c r="AJ14" s="1"/>
  <c r="Y31"/>
  <c r="Z15"/>
  <c r="AA15" s="1"/>
  <c r="AW15" i="12" s="1"/>
  <c r="BE15" s="1"/>
  <c r="BM15" s="1"/>
  <c r="L32" i="10"/>
  <c r="K32"/>
  <c r="J32"/>
  <c r="H32"/>
  <c r="G32"/>
  <c r="C31"/>
  <c r="D30"/>
  <c r="E30" s="1"/>
  <c r="O30" s="1"/>
  <c r="I32"/>
  <c r="M29"/>
  <c r="X32"/>
  <c r="P28"/>
  <c r="Q28" s="1"/>
  <c r="B33"/>
  <c r="AS32" i="12" l="1"/>
  <c r="AG32"/>
  <c r="AV32"/>
  <c r="AD32"/>
  <c r="AM32"/>
  <c r="AJ32"/>
  <c r="AN28" i="10"/>
  <c r="AM28"/>
  <c r="AL28" i="12"/>
  <c r="AO28"/>
  <c r="D34" i="14" s="1"/>
  <c r="AU28" i="12"/>
  <c r="D38" i="14" s="1"/>
  <c r="AR28" i="12"/>
  <c r="D36" i="14" s="1"/>
  <c r="AI28" i="12"/>
  <c r="D30" i="14" s="1"/>
  <c r="AF28" i="12"/>
  <c r="D28" i="14" s="1"/>
  <c r="AC28" i="12"/>
  <c r="D26" i="14" s="1"/>
  <c r="AO28" i="10"/>
  <c r="H16" i="12"/>
  <c r="G16"/>
  <c r="I16"/>
  <c r="K16"/>
  <c r="F16"/>
  <c r="E16"/>
  <c r="J16"/>
  <c r="D21" i="13"/>
  <c r="D23" s="1"/>
  <c r="T32" i="10"/>
  <c r="T33"/>
  <c r="B33" i="12"/>
  <c r="AP33" s="1"/>
  <c r="A54"/>
  <c r="D32" i="14"/>
  <c r="AQ28" i="10"/>
  <c r="AQ15" i="12"/>
  <c r="BC15" s="1"/>
  <c r="BK15" s="1"/>
  <c r="AT15"/>
  <c r="BD15" s="1"/>
  <c r="BL15" s="1"/>
  <c r="AK15"/>
  <c r="BA15" s="1"/>
  <c r="BI15" s="1"/>
  <c r="AN15"/>
  <c r="BB15" s="1"/>
  <c r="BJ15" s="1"/>
  <c r="AE15"/>
  <c r="AY15" s="1"/>
  <c r="BG15" s="1"/>
  <c r="AH15"/>
  <c r="AZ15" s="1"/>
  <c r="BH15" s="1"/>
  <c r="AF15" i="10"/>
  <c r="AG15" s="1"/>
  <c r="AH15" s="1"/>
  <c r="AJ15" s="1"/>
  <c r="Y32"/>
  <c r="Z16"/>
  <c r="D31"/>
  <c r="E31" s="1"/>
  <c r="C32"/>
  <c r="I33"/>
  <c r="L33"/>
  <c r="O33"/>
  <c r="K33"/>
  <c r="J33"/>
  <c r="H33"/>
  <c r="G33"/>
  <c r="N30"/>
  <c r="M30"/>
  <c r="X33"/>
  <c r="P29"/>
  <c r="Q29" s="1"/>
  <c r="B34"/>
  <c r="AJ33" i="12" l="1"/>
  <c r="AD33"/>
  <c r="AG33"/>
  <c r="AM33"/>
  <c r="AV33"/>
  <c r="AS33"/>
  <c r="AM29" i="10"/>
  <c r="AN29"/>
  <c r="D57" i="13"/>
  <c r="D56"/>
  <c r="D55"/>
  <c r="AL29" i="12"/>
  <c r="AO29"/>
  <c r="AI29"/>
  <c r="AU29"/>
  <c r="AR29"/>
  <c r="AF29"/>
  <c r="AC29"/>
  <c r="AO29" i="10"/>
  <c r="I17" i="12"/>
  <c r="E17"/>
  <c r="J17"/>
  <c r="F17"/>
  <c r="H17"/>
  <c r="G17"/>
  <c r="K17"/>
  <c r="C14" i="14"/>
  <c r="C22" s="1"/>
  <c r="C12"/>
  <c r="C20" s="1"/>
  <c r="C10"/>
  <c r="C18" s="1"/>
  <c r="C13"/>
  <c r="C21" s="1"/>
  <c r="C11"/>
  <c r="C19" s="1"/>
  <c r="C9"/>
  <c r="C17" s="1"/>
  <c r="C8"/>
  <c r="C16" s="1"/>
  <c r="AA16" i="10"/>
  <c r="AW16" i="12" s="1"/>
  <c r="BE16" s="1"/>
  <c r="BM16" s="1"/>
  <c r="C35" i="13"/>
  <c r="V32" i="10"/>
  <c r="V33" s="1"/>
  <c r="D60" i="13"/>
  <c r="D6" i="14" s="1"/>
  <c r="T34" i="10"/>
  <c r="B34" i="12"/>
  <c r="AP34" s="1"/>
  <c r="A55"/>
  <c r="AQ29" i="10"/>
  <c r="Y33"/>
  <c r="Z17"/>
  <c r="AA17" s="1"/>
  <c r="AW17" i="12" s="1"/>
  <c r="BE17" s="1"/>
  <c r="BM17" s="1"/>
  <c r="O34" i="10"/>
  <c r="K34"/>
  <c r="J34"/>
  <c r="H34"/>
  <c r="G34"/>
  <c r="I34"/>
  <c r="C33"/>
  <c r="D32"/>
  <c r="E32" s="1"/>
  <c r="L34"/>
  <c r="N31"/>
  <c r="M31"/>
  <c r="X34"/>
  <c r="P30"/>
  <c r="Q30" s="1"/>
  <c r="B35"/>
  <c r="AS34" i="12" l="1"/>
  <c r="AM34"/>
  <c r="AD34"/>
  <c r="AV34"/>
  <c r="AG34"/>
  <c r="AJ34"/>
  <c r="AM30" i="10"/>
  <c r="AN30"/>
  <c r="AL30" i="12"/>
  <c r="AO30"/>
  <c r="AI30"/>
  <c r="AU30"/>
  <c r="AR30"/>
  <c r="AF30"/>
  <c r="AC30"/>
  <c r="AO30" i="10"/>
  <c r="H18" i="12"/>
  <c r="F18"/>
  <c r="J18"/>
  <c r="E18"/>
  <c r="I18"/>
  <c r="K18"/>
  <c r="G18"/>
  <c r="AN16"/>
  <c r="BB16" s="1"/>
  <c r="BJ16" s="1"/>
  <c r="AH16"/>
  <c r="AZ16" s="1"/>
  <c r="BH16" s="1"/>
  <c r="AT16"/>
  <c r="BD16" s="1"/>
  <c r="BL16" s="1"/>
  <c r="AF16" i="10"/>
  <c r="AG16" s="1"/>
  <c r="AE16" i="12"/>
  <c r="AY16" s="1"/>
  <c r="BG16" s="1"/>
  <c r="AK16"/>
  <c r="BA16" s="1"/>
  <c r="BI16" s="1"/>
  <c r="AQ16"/>
  <c r="BC16" s="1"/>
  <c r="BK16" s="1"/>
  <c r="D62" i="13"/>
  <c r="V34" i="10"/>
  <c r="C36" i="13"/>
  <c r="C39" i="14" s="1"/>
  <c r="C47" s="1"/>
  <c r="T35" i="10"/>
  <c r="B35" i="12"/>
  <c r="AP35" s="1"/>
  <c r="A56"/>
  <c r="AQ30" i="10"/>
  <c r="AQ17" i="12"/>
  <c r="BC17" s="1"/>
  <c r="BK17" s="1"/>
  <c r="AT17"/>
  <c r="BD17" s="1"/>
  <c r="BL17" s="1"/>
  <c r="AK17"/>
  <c r="BA17" s="1"/>
  <c r="BI17" s="1"/>
  <c r="AN17"/>
  <c r="BB17" s="1"/>
  <c r="BJ17" s="1"/>
  <c r="AE17"/>
  <c r="AY17" s="1"/>
  <c r="BG17" s="1"/>
  <c r="AH17"/>
  <c r="AZ17" s="1"/>
  <c r="BH17" s="1"/>
  <c r="AF17" i="10"/>
  <c r="AG17" s="1"/>
  <c r="AH17" s="1"/>
  <c r="AJ17" s="1"/>
  <c r="Y34"/>
  <c r="L35"/>
  <c r="Z18"/>
  <c r="AA18" s="1"/>
  <c r="AW18" i="12" s="1"/>
  <c r="BE18" s="1"/>
  <c r="BM18" s="1"/>
  <c r="O35" i="10"/>
  <c r="K35"/>
  <c r="J35"/>
  <c r="H35"/>
  <c r="G35"/>
  <c r="I35"/>
  <c r="D33"/>
  <c r="E33" s="1"/>
  <c r="C34"/>
  <c r="O32"/>
  <c r="N32"/>
  <c r="M32"/>
  <c r="X35"/>
  <c r="P31"/>
  <c r="Q31" s="1"/>
  <c r="B36"/>
  <c r="AJ35" i="12" l="1"/>
  <c r="AV35"/>
  <c r="AM35"/>
  <c r="AG35"/>
  <c r="AD35"/>
  <c r="AS35"/>
  <c r="AM31" i="10"/>
  <c r="AN31"/>
  <c r="AL31" i="12"/>
  <c r="AO31"/>
  <c r="AU31"/>
  <c r="AR31"/>
  <c r="AI31"/>
  <c r="AF31"/>
  <c r="AC31"/>
  <c r="AO31" i="10"/>
  <c r="V35"/>
  <c r="E19" i="12"/>
  <c r="J19"/>
  <c r="I19"/>
  <c r="K19"/>
  <c r="F19"/>
  <c r="G19"/>
  <c r="H19"/>
  <c r="C37" i="14"/>
  <c r="C46" s="1"/>
  <c r="C35"/>
  <c r="C45" s="1"/>
  <c r="C33"/>
  <c r="C44" s="1"/>
  <c r="C31"/>
  <c r="C43" s="1"/>
  <c r="C29"/>
  <c r="C42" s="1"/>
  <c r="C27"/>
  <c r="C41" s="1"/>
  <c r="C61" i="13"/>
  <c r="C44"/>
  <c r="AH16" i="10"/>
  <c r="C45" i="13"/>
  <c r="T36" i="10"/>
  <c r="B36" i="12"/>
  <c r="AP36" s="1"/>
  <c r="A57"/>
  <c r="AQ31" i="10"/>
  <c r="AQ18" i="12"/>
  <c r="BC18" s="1"/>
  <c r="BK18" s="1"/>
  <c r="AT18"/>
  <c r="BD18" s="1"/>
  <c r="BL18" s="1"/>
  <c r="AK18"/>
  <c r="BA18" s="1"/>
  <c r="BI18" s="1"/>
  <c r="AN18"/>
  <c r="BB18" s="1"/>
  <c r="BJ18" s="1"/>
  <c r="AE18"/>
  <c r="AY18" s="1"/>
  <c r="BG18" s="1"/>
  <c r="AH18"/>
  <c r="AZ18" s="1"/>
  <c r="BH18" s="1"/>
  <c r="AF18" i="10"/>
  <c r="AG18" s="1"/>
  <c r="AH18" s="1"/>
  <c r="AJ18" s="1"/>
  <c r="Y35"/>
  <c r="Z19"/>
  <c r="AA19" s="1"/>
  <c r="AW19" i="12" s="1"/>
  <c r="BE19" s="1"/>
  <c r="BM19" s="1"/>
  <c r="O36" i="10"/>
  <c r="K36"/>
  <c r="J36"/>
  <c r="H36"/>
  <c r="G36"/>
  <c r="L36"/>
  <c r="D34"/>
  <c r="E34" s="1"/>
  <c r="C35"/>
  <c r="I36"/>
  <c r="N33"/>
  <c r="M33"/>
  <c r="X36"/>
  <c r="P32"/>
  <c r="Q32" s="1"/>
  <c r="B37"/>
  <c r="AS36" i="12" l="1"/>
  <c r="AG36"/>
  <c r="AV36"/>
  <c r="AD36"/>
  <c r="AM36"/>
  <c r="AJ36"/>
  <c r="AM32" i="10"/>
  <c r="AN32"/>
  <c r="C65" i="13"/>
  <c r="C63"/>
  <c r="V36" i="10"/>
  <c r="AL32" i="12"/>
  <c r="AO32"/>
  <c r="AU32"/>
  <c r="AR32"/>
  <c r="AI32"/>
  <c r="AF32"/>
  <c r="AC32"/>
  <c r="AO32" i="10"/>
  <c r="J20" i="12"/>
  <c r="F20"/>
  <c r="K20"/>
  <c r="H20"/>
  <c r="E20"/>
  <c r="I20"/>
  <c r="G20"/>
  <c r="AJ16" i="10"/>
  <c r="C47" i="13"/>
  <c r="T37" i="10"/>
  <c r="V37" s="1"/>
  <c r="B37" i="12"/>
  <c r="AP37" s="1"/>
  <c r="A58"/>
  <c r="AQ32" i="10"/>
  <c r="AQ19" i="12"/>
  <c r="BC19" s="1"/>
  <c r="BK19" s="1"/>
  <c r="AT19"/>
  <c r="BD19" s="1"/>
  <c r="BL19" s="1"/>
  <c r="AK19"/>
  <c r="BA19" s="1"/>
  <c r="BI19" s="1"/>
  <c r="AN19"/>
  <c r="BB19" s="1"/>
  <c r="BJ19" s="1"/>
  <c r="AE19"/>
  <c r="AY19" s="1"/>
  <c r="BG19" s="1"/>
  <c r="AH19"/>
  <c r="AZ19" s="1"/>
  <c r="BH19" s="1"/>
  <c r="AF19" i="10"/>
  <c r="AG19" s="1"/>
  <c r="AH19" s="1"/>
  <c r="AJ19" s="1"/>
  <c r="Y36"/>
  <c r="I37"/>
  <c r="Z20"/>
  <c r="AA20" s="1"/>
  <c r="AW20" i="12" s="1"/>
  <c r="BE20" s="1"/>
  <c r="BM20" s="1"/>
  <c r="O37" i="10"/>
  <c r="K37"/>
  <c r="J37"/>
  <c r="H37"/>
  <c r="G37"/>
  <c r="D35"/>
  <c r="E35" s="1"/>
  <c r="C36"/>
  <c r="L37"/>
  <c r="N34"/>
  <c r="M34"/>
  <c r="X37"/>
  <c r="P33"/>
  <c r="Q33" s="1"/>
  <c r="B38"/>
  <c r="AJ37" i="12" l="1"/>
  <c r="AD37"/>
  <c r="AG37"/>
  <c r="AM37"/>
  <c r="AV37"/>
  <c r="AS37"/>
  <c r="AN33" i="10"/>
  <c r="AM33"/>
  <c r="AL33" i="12"/>
  <c r="AO33"/>
  <c r="AI33"/>
  <c r="AU33"/>
  <c r="AR33"/>
  <c r="AF33"/>
  <c r="AC33"/>
  <c r="AO33" i="10"/>
  <c r="I21" i="12"/>
  <c r="F21"/>
  <c r="J21"/>
  <c r="E21"/>
  <c r="H21"/>
  <c r="G21"/>
  <c r="K21"/>
  <c r="C52" i="13"/>
  <c r="T38" i="10"/>
  <c r="V38" s="1"/>
  <c r="B38" i="12"/>
  <c r="AP38" s="1"/>
  <c r="A59"/>
  <c r="AQ33" i="10"/>
  <c r="AQ20" i="12"/>
  <c r="BC20" s="1"/>
  <c r="BK20" s="1"/>
  <c r="AT20"/>
  <c r="BD20" s="1"/>
  <c r="BL20" s="1"/>
  <c r="AK20"/>
  <c r="BA20" s="1"/>
  <c r="BI20" s="1"/>
  <c r="AN20"/>
  <c r="BB20" s="1"/>
  <c r="BJ20" s="1"/>
  <c r="AE20"/>
  <c r="AY20" s="1"/>
  <c r="BG20" s="1"/>
  <c r="AH20"/>
  <c r="AZ20" s="1"/>
  <c r="BH20" s="1"/>
  <c r="AF20" i="10"/>
  <c r="AG20" s="1"/>
  <c r="AH20" s="1"/>
  <c r="AJ20" s="1"/>
  <c r="I38"/>
  <c r="Y37"/>
  <c r="Z21"/>
  <c r="AA21" s="1"/>
  <c r="AW21" i="12" s="1"/>
  <c r="BE21" s="1"/>
  <c r="BM21" s="1"/>
  <c r="O38" i="10"/>
  <c r="K38"/>
  <c r="J38"/>
  <c r="H38"/>
  <c r="G38"/>
  <c r="L38"/>
  <c r="C37"/>
  <c r="D36"/>
  <c r="E36" s="1"/>
  <c r="N35"/>
  <c r="M35"/>
  <c r="X38"/>
  <c r="P34"/>
  <c r="Q34" s="1"/>
  <c r="B39"/>
  <c r="AS38" i="12" l="1"/>
  <c r="AM38"/>
  <c r="AD38"/>
  <c r="AV38"/>
  <c r="AG38"/>
  <c r="AJ38"/>
  <c r="AN34" i="10"/>
  <c r="AM34"/>
  <c r="AL34" i="12"/>
  <c r="AO34"/>
  <c r="AI34"/>
  <c r="AU34"/>
  <c r="AR34"/>
  <c r="AF34"/>
  <c r="AC34"/>
  <c r="AO34" i="10"/>
  <c r="H22" i="12"/>
  <c r="I22"/>
  <c r="K22"/>
  <c r="J22"/>
  <c r="E22"/>
  <c r="G22"/>
  <c r="F22"/>
  <c r="T39" i="10"/>
  <c r="V39" s="1"/>
  <c r="B39" i="12"/>
  <c r="AP39" s="1"/>
  <c r="A60"/>
  <c r="AQ34" i="10"/>
  <c r="AQ21" i="12"/>
  <c r="BC21" s="1"/>
  <c r="BK21" s="1"/>
  <c r="AT21"/>
  <c r="BD21" s="1"/>
  <c r="BL21" s="1"/>
  <c r="AK21"/>
  <c r="BA21" s="1"/>
  <c r="BI21" s="1"/>
  <c r="AN21"/>
  <c r="BB21" s="1"/>
  <c r="BJ21" s="1"/>
  <c r="AE21"/>
  <c r="AY21" s="1"/>
  <c r="BG21" s="1"/>
  <c r="AH21"/>
  <c r="AZ21" s="1"/>
  <c r="BH21" s="1"/>
  <c r="AF21" i="10"/>
  <c r="AG21" s="1"/>
  <c r="AH21" s="1"/>
  <c r="AJ21" s="1"/>
  <c r="Y38"/>
  <c r="L39"/>
  <c r="Z22"/>
  <c r="AA22" s="1"/>
  <c r="AW22" i="12" s="1"/>
  <c r="BE22" s="1"/>
  <c r="BM22" s="1"/>
  <c r="O39" i="10"/>
  <c r="K39"/>
  <c r="J39"/>
  <c r="H39"/>
  <c r="G39"/>
  <c r="D37"/>
  <c r="E37" s="1"/>
  <c r="C38"/>
  <c r="I39"/>
  <c r="N36"/>
  <c r="M36"/>
  <c r="X39"/>
  <c r="P35"/>
  <c r="Q35" s="1"/>
  <c r="B40"/>
  <c r="AJ39" i="12" l="1"/>
  <c r="AV39"/>
  <c r="AM39"/>
  <c r="AG39"/>
  <c r="AD39"/>
  <c r="AS39"/>
  <c r="AM35" i="10"/>
  <c r="AN35"/>
  <c r="AL35" i="12"/>
  <c r="AO35"/>
  <c r="AU35"/>
  <c r="AR35"/>
  <c r="AI35"/>
  <c r="AF35"/>
  <c r="AC35"/>
  <c r="AO35" i="10"/>
  <c r="G23" i="12"/>
  <c r="H23"/>
  <c r="F23"/>
  <c r="I23"/>
  <c r="J23"/>
  <c r="E23"/>
  <c r="K23"/>
  <c r="B40"/>
  <c r="AP40" s="1"/>
  <c r="A61"/>
  <c r="AQ35" i="10"/>
  <c r="AQ22" i="12"/>
  <c r="BC22" s="1"/>
  <c r="BK22" s="1"/>
  <c r="AT22"/>
  <c r="BD22" s="1"/>
  <c r="BL22" s="1"/>
  <c r="AK22"/>
  <c r="BA22" s="1"/>
  <c r="BI22" s="1"/>
  <c r="AN22"/>
  <c r="BB22" s="1"/>
  <c r="BJ22" s="1"/>
  <c r="AE22"/>
  <c r="AY22" s="1"/>
  <c r="BG22" s="1"/>
  <c r="AH22"/>
  <c r="AZ22" s="1"/>
  <c r="BH22" s="1"/>
  <c r="AF22" i="10"/>
  <c r="AG22" s="1"/>
  <c r="AH22" s="1"/>
  <c r="AJ22" s="1"/>
  <c r="L40"/>
  <c r="Y39"/>
  <c r="Z23"/>
  <c r="AA23" s="1"/>
  <c r="AW23" i="12" s="1"/>
  <c r="BE23" s="1"/>
  <c r="BM23" s="1"/>
  <c r="O40" i="10"/>
  <c r="K40"/>
  <c r="J40"/>
  <c r="H40"/>
  <c r="G40"/>
  <c r="I40"/>
  <c r="C39"/>
  <c r="D38"/>
  <c r="E38" s="1"/>
  <c r="N37"/>
  <c r="M37"/>
  <c r="X40"/>
  <c r="P36"/>
  <c r="Q36" s="1"/>
  <c r="B41"/>
  <c r="AS40" i="12" l="1"/>
  <c r="AG40"/>
  <c r="AV40"/>
  <c r="AD40"/>
  <c r="AM40"/>
  <c r="AJ40"/>
  <c r="AN36" i="10"/>
  <c r="AM36"/>
  <c r="AL36" i="12"/>
  <c r="AO36"/>
  <c r="AU36"/>
  <c r="AR36"/>
  <c r="AI36"/>
  <c r="AF36"/>
  <c r="AC36"/>
  <c r="AO36" i="10"/>
  <c r="G24" i="12"/>
  <c r="F24"/>
  <c r="K24"/>
  <c r="I24"/>
  <c r="H24"/>
  <c r="J24"/>
  <c r="E24"/>
  <c r="E33" i="13"/>
  <c r="I41" i="10"/>
  <c r="E14" i="13"/>
  <c r="E13"/>
  <c r="E16"/>
  <c r="E17"/>
  <c r="E12"/>
  <c r="E15"/>
  <c r="E20"/>
  <c r="T40" i="10"/>
  <c r="E26" i="13"/>
  <c r="B41" i="12"/>
  <c r="AP41" s="1"/>
  <c r="A62"/>
  <c r="AQ36" i="10"/>
  <c r="AQ23" i="12"/>
  <c r="BC23" s="1"/>
  <c r="BK23" s="1"/>
  <c r="AT23"/>
  <c r="BD23" s="1"/>
  <c r="BL23" s="1"/>
  <c r="AK23"/>
  <c r="BA23" s="1"/>
  <c r="BI23" s="1"/>
  <c r="AN23"/>
  <c r="BB23" s="1"/>
  <c r="BJ23" s="1"/>
  <c r="AE23"/>
  <c r="AY23" s="1"/>
  <c r="BG23" s="1"/>
  <c r="AH23"/>
  <c r="AZ23" s="1"/>
  <c r="BH23" s="1"/>
  <c r="AF23" i="10"/>
  <c r="AG23" s="1"/>
  <c r="AH23" s="1"/>
  <c r="AJ23" s="1"/>
  <c r="Y40"/>
  <c r="Z24"/>
  <c r="AA24" s="1"/>
  <c r="AW24" i="12" s="1"/>
  <c r="BE24" s="1"/>
  <c r="BM24" s="1"/>
  <c r="O41" i="10"/>
  <c r="K41"/>
  <c r="J41"/>
  <c r="H41"/>
  <c r="G41"/>
  <c r="D39"/>
  <c r="E39" s="1"/>
  <c r="C40"/>
  <c r="L41"/>
  <c r="N38"/>
  <c r="M38"/>
  <c r="X41"/>
  <c r="P37"/>
  <c r="Q37" s="1"/>
  <c r="B42"/>
  <c r="AJ41" i="12" l="1"/>
  <c r="AD41"/>
  <c r="AG41"/>
  <c r="AM41"/>
  <c r="AV41"/>
  <c r="AS41"/>
  <c r="AN37" i="10"/>
  <c r="AM37"/>
  <c r="AL37" i="12"/>
  <c r="AO37"/>
  <c r="AI37"/>
  <c r="AU37"/>
  <c r="AR37"/>
  <c r="AF37"/>
  <c r="AC37"/>
  <c r="AO37" i="10"/>
  <c r="E25" i="12"/>
  <c r="G25"/>
  <c r="I25"/>
  <c r="K25"/>
  <c r="F25"/>
  <c r="J25"/>
  <c r="H25"/>
  <c r="E6" i="13"/>
  <c r="E34"/>
  <c r="T41" i="10"/>
  <c r="V40"/>
  <c r="E27" i="13"/>
  <c r="E28" s="1"/>
  <c r="T42" i="10"/>
  <c r="B42" i="12"/>
  <c r="AP42" s="1"/>
  <c r="A63"/>
  <c r="AQ37" i="10"/>
  <c r="AQ24" i="12"/>
  <c r="BC24" s="1"/>
  <c r="BK24" s="1"/>
  <c r="AT24"/>
  <c r="BD24" s="1"/>
  <c r="BL24" s="1"/>
  <c r="AK24"/>
  <c r="BA24" s="1"/>
  <c r="BI24" s="1"/>
  <c r="AN24"/>
  <c r="BB24" s="1"/>
  <c r="BJ24" s="1"/>
  <c r="AE24"/>
  <c r="AY24" s="1"/>
  <c r="BG24" s="1"/>
  <c r="AH24"/>
  <c r="AZ24" s="1"/>
  <c r="BH24" s="1"/>
  <c r="AF24" i="10"/>
  <c r="AG24" s="1"/>
  <c r="AH24" s="1"/>
  <c r="AJ24" s="1"/>
  <c r="Y41"/>
  <c r="L42"/>
  <c r="Z25"/>
  <c r="AA25" s="1"/>
  <c r="AW25" i="12" s="1"/>
  <c r="BE25" s="1"/>
  <c r="BM25" s="1"/>
  <c r="K42" i="10"/>
  <c r="J42"/>
  <c r="H42"/>
  <c r="G42"/>
  <c r="I42"/>
  <c r="D40"/>
  <c r="C41"/>
  <c r="N39"/>
  <c r="M39"/>
  <c r="X42"/>
  <c r="P38"/>
  <c r="Q38" s="1"/>
  <c r="B43"/>
  <c r="AS42" i="12" l="1"/>
  <c r="AM42"/>
  <c r="AD42"/>
  <c r="AV42"/>
  <c r="AG42"/>
  <c r="AJ42"/>
  <c r="AM38" i="10"/>
  <c r="AN38"/>
  <c r="AL38" i="12"/>
  <c r="AO38"/>
  <c r="AI38"/>
  <c r="AU38"/>
  <c r="AR38"/>
  <c r="AF38"/>
  <c r="AC38"/>
  <c r="AO38" i="10"/>
  <c r="K26" i="12"/>
  <c r="I26"/>
  <c r="H26"/>
  <c r="J26"/>
  <c r="E26"/>
  <c r="G26"/>
  <c r="F26"/>
  <c r="E30" i="13"/>
  <c r="E40" i="10"/>
  <c r="N40" s="1"/>
  <c r="E7" i="13"/>
  <c r="E9" s="1"/>
  <c r="V41" i="10"/>
  <c r="V42" s="1"/>
  <c r="B43" i="12"/>
  <c r="AP43" s="1"/>
  <c r="G2" i="13"/>
  <c r="A64" i="12"/>
  <c r="AQ38" i="10"/>
  <c r="AQ25" i="12"/>
  <c r="BC25" s="1"/>
  <c r="BK25" s="1"/>
  <c r="AT25"/>
  <c r="BD25" s="1"/>
  <c r="BL25" s="1"/>
  <c r="AK25"/>
  <c r="BA25" s="1"/>
  <c r="BI25" s="1"/>
  <c r="AN25"/>
  <c r="BB25" s="1"/>
  <c r="BJ25" s="1"/>
  <c r="AE25"/>
  <c r="AY25" s="1"/>
  <c r="BG25" s="1"/>
  <c r="AH25"/>
  <c r="AZ25" s="1"/>
  <c r="BH25" s="1"/>
  <c r="AF25" i="10"/>
  <c r="AG25" s="1"/>
  <c r="AH25" s="1"/>
  <c r="AJ25" s="1"/>
  <c r="Y42"/>
  <c r="Z26"/>
  <c r="AA26" s="1"/>
  <c r="AW26" i="12" s="1"/>
  <c r="BE26" s="1"/>
  <c r="BM26" s="1"/>
  <c r="O43" i="10"/>
  <c r="K43"/>
  <c r="J43"/>
  <c r="H43"/>
  <c r="G43"/>
  <c r="L43"/>
  <c r="C42"/>
  <c r="D41"/>
  <c r="I43"/>
  <c r="M40"/>
  <c r="X43"/>
  <c r="P39"/>
  <c r="Q39" s="1"/>
  <c r="B44"/>
  <c r="AJ43" i="12" l="1"/>
  <c r="AV43"/>
  <c r="AM43"/>
  <c r="AG43"/>
  <c r="AD43"/>
  <c r="AS43"/>
  <c r="AN39" i="10"/>
  <c r="AM39"/>
  <c r="G2" i="14"/>
  <c r="AL39" i="12"/>
  <c r="AO39"/>
  <c r="AU39"/>
  <c r="AR39"/>
  <c r="AI39"/>
  <c r="AF39"/>
  <c r="AC39"/>
  <c r="AO39" i="10"/>
  <c r="G27" i="12"/>
  <c r="H27"/>
  <c r="E27"/>
  <c r="J27"/>
  <c r="K27"/>
  <c r="F27"/>
  <c r="I27"/>
  <c r="E19" i="13"/>
  <c r="E41" i="10"/>
  <c r="E18" i="13"/>
  <c r="E21" s="1"/>
  <c r="E23" s="1"/>
  <c r="T43" i="10"/>
  <c r="T44"/>
  <c r="B44" i="12"/>
  <c r="AP44" s="1"/>
  <c r="A65"/>
  <c r="AQ39" i="10"/>
  <c r="AQ26" i="12"/>
  <c r="BC26" s="1"/>
  <c r="BK26" s="1"/>
  <c r="AT26"/>
  <c r="BD26" s="1"/>
  <c r="BL26" s="1"/>
  <c r="AK26"/>
  <c r="BA26" s="1"/>
  <c r="BI26" s="1"/>
  <c r="AN26"/>
  <c r="BB26" s="1"/>
  <c r="BJ26" s="1"/>
  <c r="AE26"/>
  <c r="AY26" s="1"/>
  <c r="BG26" s="1"/>
  <c r="AH26"/>
  <c r="AZ26" s="1"/>
  <c r="BH26" s="1"/>
  <c r="AF26" i="10"/>
  <c r="AG26" s="1"/>
  <c r="AH26" s="1"/>
  <c r="AJ26" s="1"/>
  <c r="Y43"/>
  <c r="Z27"/>
  <c r="AA27" s="1"/>
  <c r="AW27" i="12" s="1"/>
  <c r="BE27" s="1"/>
  <c r="BM27" s="1"/>
  <c r="K44" i="10"/>
  <c r="J44"/>
  <c r="H44"/>
  <c r="G44"/>
  <c r="L44"/>
  <c r="D42"/>
  <c r="E42" s="1"/>
  <c r="O42" s="1"/>
  <c r="C43"/>
  <c r="I44"/>
  <c r="N41"/>
  <c r="M41"/>
  <c r="X44"/>
  <c r="P40"/>
  <c r="Q40" s="1"/>
  <c r="B45"/>
  <c r="AS44" i="12" l="1"/>
  <c r="AG44"/>
  <c r="AV44"/>
  <c r="AD44"/>
  <c r="AM44"/>
  <c r="AJ44"/>
  <c r="AN40" i="10"/>
  <c r="AM40"/>
  <c r="E57" i="13"/>
  <c r="E56"/>
  <c r="E55"/>
  <c r="AL40" i="12"/>
  <c r="AO40"/>
  <c r="AU40"/>
  <c r="AR40"/>
  <c r="E36" i="14" s="1"/>
  <c r="AI40" i="12"/>
  <c r="AF40"/>
  <c r="E28" i="14" s="1"/>
  <c r="AC40" i="12"/>
  <c r="E26" i="14" s="1"/>
  <c r="AO40" i="10"/>
  <c r="K28" i="12"/>
  <c r="G28"/>
  <c r="J28"/>
  <c r="I28"/>
  <c r="E28"/>
  <c r="F28"/>
  <c r="H28"/>
  <c r="D14" i="14"/>
  <c r="D22" s="1"/>
  <c r="D12"/>
  <c r="D20" s="1"/>
  <c r="D10"/>
  <c r="D18" s="1"/>
  <c r="D8"/>
  <c r="D16" s="1"/>
  <c r="D13"/>
  <c r="D21" s="1"/>
  <c r="D11"/>
  <c r="D19" s="1"/>
  <c r="D9"/>
  <c r="D17" s="1"/>
  <c r="V43" i="10"/>
  <c r="V44" s="1"/>
  <c r="T45"/>
  <c r="B45" i="12"/>
  <c r="AP45" s="1"/>
  <c r="A66"/>
  <c r="E32" i="14"/>
  <c r="E34"/>
  <c r="E30"/>
  <c r="AQ40" i="10"/>
  <c r="E38" i="14"/>
  <c r="AQ27" i="12"/>
  <c r="BC27" s="1"/>
  <c r="BK27" s="1"/>
  <c r="AT27"/>
  <c r="BD27" s="1"/>
  <c r="BL27" s="1"/>
  <c r="AK27"/>
  <c r="BA27" s="1"/>
  <c r="BI27" s="1"/>
  <c r="AN27"/>
  <c r="BB27" s="1"/>
  <c r="BJ27" s="1"/>
  <c r="AE27"/>
  <c r="AY27" s="1"/>
  <c r="BG27" s="1"/>
  <c r="AH27"/>
  <c r="AZ27" s="1"/>
  <c r="BH27" s="1"/>
  <c r="AF27" i="10"/>
  <c r="AG27" s="1"/>
  <c r="AH27" s="1"/>
  <c r="AJ27" s="1"/>
  <c r="Y44"/>
  <c r="Z28"/>
  <c r="I45"/>
  <c r="O45"/>
  <c r="K45"/>
  <c r="J45"/>
  <c r="H45"/>
  <c r="G45"/>
  <c r="D43"/>
  <c r="E43" s="1"/>
  <c r="C44"/>
  <c r="L45"/>
  <c r="N42"/>
  <c r="M42"/>
  <c r="X45"/>
  <c r="P41"/>
  <c r="Q41" s="1"/>
  <c r="B46"/>
  <c r="AJ45" i="12" l="1"/>
  <c r="AD45"/>
  <c r="AG45"/>
  <c r="AM45"/>
  <c r="AV45"/>
  <c r="AS45"/>
  <c r="AN41" i="10"/>
  <c r="AM41"/>
  <c r="AL41" i="12"/>
  <c r="AO41"/>
  <c r="AI41"/>
  <c r="AU41"/>
  <c r="AR41"/>
  <c r="AF41"/>
  <c r="AC41"/>
  <c r="AO41" i="10"/>
  <c r="H29" i="12"/>
  <c r="E29"/>
  <c r="G29"/>
  <c r="K29"/>
  <c r="J29"/>
  <c r="F29"/>
  <c r="I29"/>
  <c r="AA28" i="10"/>
  <c r="AT28" i="12" s="1"/>
  <c r="BD28" s="1"/>
  <c r="BL28" s="1"/>
  <c r="D35" i="13"/>
  <c r="V45" i="10"/>
  <c r="E60" i="13"/>
  <c r="E6" i="14" s="1"/>
  <c r="T46" i="10"/>
  <c r="B46" i="12"/>
  <c r="AP46" s="1"/>
  <c r="A67"/>
  <c r="AQ41" i="10"/>
  <c r="Y45"/>
  <c r="L46"/>
  <c r="Z29"/>
  <c r="AA29" s="1"/>
  <c r="AW29" i="12" s="1"/>
  <c r="BE29" s="1"/>
  <c r="BM29" s="1"/>
  <c r="O46" i="10"/>
  <c r="K46"/>
  <c r="J46"/>
  <c r="H46"/>
  <c r="G46"/>
  <c r="C45"/>
  <c r="D44"/>
  <c r="E44" s="1"/>
  <c r="I46"/>
  <c r="N43"/>
  <c r="M43"/>
  <c r="X46"/>
  <c r="P42"/>
  <c r="Q42" s="1"/>
  <c r="B47"/>
  <c r="AS46" i="12" l="1"/>
  <c r="AM46"/>
  <c r="AD46"/>
  <c r="AV46"/>
  <c r="AG46"/>
  <c r="AJ46"/>
  <c r="AN42" i="10"/>
  <c r="AM42"/>
  <c r="AL42" i="12"/>
  <c r="AO42"/>
  <c r="AI42"/>
  <c r="AU42"/>
  <c r="AR42"/>
  <c r="AF42"/>
  <c r="AC42"/>
  <c r="AO42" i="10"/>
  <c r="J30" i="12"/>
  <c r="K30"/>
  <c r="E30"/>
  <c r="H30"/>
  <c r="F30"/>
  <c r="G30"/>
  <c r="I30"/>
  <c r="AW28"/>
  <c r="BE28" s="1"/>
  <c r="BM28" s="1"/>
  <c r="AN28"/>
  <c r="BB28" s="1"/>
  <c r="BJ28" s="1"/>
  <c r="AH28"/>
  <c r="AZ28" s="1"/>
  <c r="BH28" s="1"/>
  <c r="AF28" i="10"/>
  <c r="AG28" s="1"/>
  <c r="AE28" i="12"/>
  <c r="AY28" s="1"/>
  <c r="BG28" s="1"/>
  <c r="AK28"/>
  <c r="BA28" s="1"/>
  <c r="BI28" s="1"/>
  <c r="AQ28"/>
  <c r="BC28" s="1"/>
  <c r="BK28" s="1"/>
  <c r="D36" i="13"/>
  <c r="D39" i="14" s="1"/>
  <c r="D47" s="1"/>
  <c r="E62" i="13"/>
  <c r="V46" i="10"/>
  <c r="T47"/>
  <c r="B47" i="12"/>
  <c r="AP47" s="1"/>
  <c r="A68"/>
  <c r="AQ42" i="10"/>
  <c r="AQ29" i="12"/>
  <c r="BC29" s="1"/>
  <c r="BK29" s="1"/>
  <c r="AT29"/>
  <c r="BD29" s="1"/>
  <c r="BL29" s="1"/>
  <c r="AK29"/>
  <c r="BA29" s="1"/>
  <c r="BI29" s="1"/>
  <c r="AN29"/>
  <c r="BB29" s="1"/>
  <c r="BJ29" s="1"/>
  <c r="AE29"/>
  <c r="AY29" s="1"/>
  <c r="BG29" s="1"/>
  <c r="AH29"/>
  <c r="AZ29" s="1"/>
  <c r="BH29" s="1"/>
  <c r="AF29" i="10"/>
  <c r="AG29" s="1"/>
  <c r="AH29" s="1"/>
  <c r="AJ29" s="1"/>
  <c r="Y46"/>
  <c r="Z30"/>
  <c r="AA30" s="1"/>
  <c r="AW30" i="12" s="1"/>
  <c r="BE30" s="1"/>
  <c r="BM30" s="1"/>
  <c r="O47" i="10"/>
  <c r="K47"/>
  <c r="J47"/>
  <c r="H47"/>
  <c r="G47"/>
  <c r="I47"/>
  <c r="L47"/>
  <c r="C46"/>
  <c r="D45"/>
  <c r="E45" s="1"/>
  <c r="O44"/>
  <c r="N44"/>
  <c r="M44"/>
  <c r="X47"/>
  <c r="P43"/>
  <c r="Q43" s="1"/>
  <c r="B48"/>
  <c r="AJ47" i="12" l="1"/>
  <c r="AV47"/>
  <c r="AM47"/>
  <c r="AG47"/>
  <c r="AD47"/>
  <c r="AS47"/>
  <c r="AM43" i="10"/>
  <c r="AN43"/>
  <c r="AL43" i="12"/>
  <c r="AO43"/>
  <c r="AU43"/>
  <c r="AR43"/>
  <c r="AI43"/>
  <c r="AF43"/>
  <c r="AC43"/>
  <c r="AO43" i="10"/>
  <c r="I31" i="12"/>
  <c r="G31"/>
  <c r="H31"/>
  <c r="K31"/>
  <c r="E31"/>
  <c r="J31"/>
  <c r="F31"/>
  <c r="D37" i="14"/>
  <c r="D46" s="1"/>
  <c r="D35"/>
  <c r="D45" s="1"/>
  <c r="D33"/>
  <c r="D44" s="1"/>
  <c r="D31"/>
  <c r="D43" s="1"/>
  <c r="D29"/>
  <c r="D42" s="1"/>
  <c r="D27"/>
  <c r="D41" s="1"/>
  <c r="D61" i="13"/>
  <c r="D44"/>
  <c r="V47" i="10"/>
  <c r="AH28"/>
  <c r="D45" i="13"/>
  <c r="T48" i="10"/>
  <c r="B48" i="12"/>
  <c r="AP48" s="1"/>
  <c r="A69"/>
  <c r="AQ43" i="10"/>
  <c r="AQ30" i="12"/>
  <c r="BC30" s="1"/>
  <c r="BK30" s="1"/>
  <c r="AT30"/>
  <c r="BD30" s="1"/>
  <c r="BL30" s="1"/>
  <c r="AK30"/>
  <c r="BA30" s="1"/>
  <c r="BI30" s="1"/>
  <c r="AN30"/>
  <c r="BB30" s="1"/>
  <c r="BJ30" s="1"/>
  <c r="AE30"/>
  <c r="AY30" s="1"/>
  <c r="BG30" s="1"/>
  <c r="AH30"/>
  <c r="AZ30" s="1"/>
  <c r="BH30" s="1"/>
  <c r="AF30" i="10"/>
  <c r="AG30" s="1"/>
  <c r="AH30" s="1"/>
  <c r="AJ30" s="1"/>
  <c r="Y47"/>
  <c r="Z31"/>
  <c r="AA31" s="1"/>
  <c r="AW31" i="12" s="1"/>
  <c r="BE31" s="1"/>
  <c r="BM31" s="1"/>
  <c r="C47" i="10"/>
  <c r="D46"/>
  <c r="E46" s="1"/>
  <c r="I48"/>
  <c r="O48"/>
  <c r="K48"/>
  <c r="J48"/>
  <c r="H48"/>
  <c r="G48"/>
  <c r="L48"/>
  <c r="N45"/>
  <c r="M45"/>
  <c r="X48"/>
  <c r="P44"/>
  <c r="Q44" s="1"/>
  <c r="B49"/>
  <c r="AS48" i="12" l="1"/>
  <c r="AG48"/>
  <c r="AV48"/>
  <c r="AD48"/>
  <c r="AM48"/>
  <c r="AJ48"/>
  <c r="AN44" i="10"/>
  <c r="AM44"/>
  <c r="D63" i="13"/>
  <c r="D65"/>
  <c r="AL44" i="12"/>
  <c r="AO44"/>
  <c r="AU44"/>
  <c r="AR44"/>
  <c r="AI44"/>
  <c r="AF44"/>
  <c r="AC44"/>
  <c r="AO44" i="10"/>
  <c r="H32" i="12"/>
  <c r="G32"/>
  <c r="F32"/>
  <c r="K32"/>
  <c r="I32"/>
  <c r="E32"/>
  <c r="J32"/>
  <c r="V48" i="10"/>
  <c r="AJ28"/>
  <c r="D47" i="13"/>
  <c r="T49" i="10"/>
  <c r="B49" i="12"/>
  <c r="AP49" s="1"/>
  <c r="A70"/>
  <c r="AQ44" i="10"/>
  <c r="AQ31" i="12"/>
  <c r="BC31" s="1"/>
  <c r="BK31" s="1"/>
  <c r="AT31"/>
  <c r="BD31" s="1"/>
  <c r="BL31" s="1"/>
  <c r="AK31"/>
  <c r="BA31" s="1"/>
  <c r="BI31" s="1"/>
  <c r="AN31"/>
  <c r="BB31" s="1"/>
  <c r="BJ31" s="1"/>
  <c r="AE31"/>
  <c r="AY31" s="1"/>
  <c r="BG31" s="1"/>
  <c r="AH31"/>
  <c r="AZ31" s="1"/>
  <c r="BH31" s="1"/>
  <c r="AF31" i="10"/>
  <c r="AG31" s="1"/>
  <c r="AH31" s="1"/>
  <c r="AJ31" s="1"/>
  <c r="Y48"/>
  <c r="L49"/>
  <c r="Z32"/>
  <c r="AA32" s="1"/>
  <c r="AW32" i="12" s="1"/>
  <c r="BE32" s="1"/>
  <c r="BM32" s="1"/>
  <c r="O49" i="10"/>
  <c r="K49"/>
  <c r="J49"/>
  <c r="H49"/>
  <c r="G49"/>
  <c r="D47"/>
  <c r="E47" s="1"/>
  <c r="C48"/>
  <c r="I49"/>
  <c r="N46"/>
  <c r="M46"/>
  <c r="X49"/>
  <c r="P45"/>
  <c r="Q45" s="1"/>
  <c r="B50"/>
  <c r="AJ49" i="12" l="1"/>
  <c r="AD49"/>
  <c r="AG49"/>
  <c r="AM49"/>
  <c r="AV49"/>
  <c r="AS49"/>
  <c r="AN45" i="10"/>
  <c r="AM45"/>
  <c r="V49"/>
  <c r="AL45" i="12"/>
  <c r="AO45"/>
  <c r="AI45"/>
  <c r="AU45"/>
  <c r="AR45"/>
  <c r="AF45"/>
  <c r="AC45"/>
  <c r="AO45" i="10"/>
  <c r="H33" i="12"/>
  <c r="I33"/>
  <c r="J33"/>
  <c r="K33"/>
  <c r="G33"/>
  <c r="F33"/>
  <c r="E33"/>
  <c r="D52" i="13"/>
  <c r="T50" i="10"/>
  <c r="B50" i="12"/>
  <c r="AP50" s="1"/>
  <c r="A71"/>
  <c r="AQ45" i="10"/>
  <c r="AQ32" i="12"/>
  <c r="BC32" s="1"/>
  <c r="BK32" s="1"/>
  <c r="AT32"/>
  <c r="BD32" s="1"/>
  <c r="BL32" s="1"/>
  <c r="AK32"/>
  <c r="BA32" s="1"/>
  <c r="BI32" s="1"/>
  <c r="AN32"/>
  <c r="BB32" s="1"/>
  <c r="BJ32" s="1"/>
  <c r="AE32"/>
  <c r="AY32" s="1"/>
  <c r="BG32" s="1"/>
  <c r="AH32"/>
  <c r="AZ32" s="1"/>
  <c r="BH32" s="1"/>
  <c r="AF32" i="10"/>
  <c r="AG32" s="1"/>
  <c r="AH32" s="1"/>
  <c r="AJ32" s="1"/>
  <c r="Y49"/>
  <c r="I50"/>
  <c r="Z33"/>
  <c r="AA33" s="1"/>
  <c r="AW33" i="12" s="1"/>
  <c r="BE33" s="1"/>
  <c r="BM33" s="1"/>
  <c r="O50" i="10"/>
  <c r="K50"/>
  <c r="J50"/>
  <c r="H50"/>
  <c r="G50"/>
  <c r="L50"/>
  <c r="D48"/>
  <c r="E48" s="1"/>
  <c r="C49"/>
  <c r="N47"/>
  <c r="M47"/>
  <c r="X50"/>
  <c r="P46"/>
  <c r="Q46" s="1"/>
  <c r="B51"/>
  <c r="AS50" i="12" l="1"/>
  <c r="AM50"/>
  <c r="AD50"/>
  <c r="AV50"/>
  <c r="AG50"/>
  <c r="AJ50"/>
  <c r="V50" i="10"/>
  <c r="AM46"/>
  <c r="AN46"/>
  <c r="AL46" i="12"/>
  <c r="AO46"/>
  <c r="AI46"/>
  <c r="AU46"/>
  <c r="AR46"/>
  <c r="AF46"/>
  <c r="AC46"/>
  <c r="AO46" i="10"/>
  <c r="E34" i="12"/>
  <c r="G34"/>
  <c r="K34"/>
  <c r="H34"/>
  <c r="J34"/>
  <c r="I34"/>
  <c r="F34"/>
  <c r="T51" i="10"/>
  <c r="V51" s="1"/>
  <c r="B51" i="12"/>
  <c r="AP51" s="1"/>
  <c r="A72"/>
  <c r="AQ46" i="10"/>
  <c r="AQ33" i="12"/>
  <c r="BC33" s="1"/>
  <c r="BK33" s="1"/>
  <c r="AT33"/>
  <c r="BD33" s="1"/>
  <c r="BL33" s="1"/>
  <c r="AK33"/>
  <c r="BA33" s="1"/>
  <c r="BI33" s="1"/>
  <c r="AN33"/>
  <c r="BB33" s="1"/>
  <c r="BJ33" s="1"/>
  <c r="AE33"/>
  <c r="AY33" s="1"/>
  <c r="BG33" s="1"/>
  <c r="AH33"/>
  <c r="AZ33" s="1"/>
  <c r="BH33" s="1"/>
  <c r="AF33" i="10"/>
  <c r="AG33" s="1"/>
  <c r="AH33" s="1"/>
  <c r="AJ33" s="1"/>
  <c r="Y50"/>
  <c r="Z34"/>
  <c r="AA34" s="1"/>
  <c r="AW34" i="12" s="1"/>
  <c r="BE34" s="1"/>
  <c r="BM34" s="1"/>
  <c r="O51" i="10"/>
  <c r="K51"/>
  <c r="J51"/>
  <c r="H51"/>
  <c r="G51"/>
  <c r="C50"/>
  <c r="D49"/>
  <c r="E49" s="1"/>
  <c r="L51"/>
  <c r="I51"/>
  <c r="N48"/>
  <c r="M48"/>
  <c r="X51"/>
  <c r="P47"/>
  <c r="Q47" s="1"/>
  <c r="B52"/>
  <c r="AJ51" i="12" l="1"/>
  <c r="AV51"/>
  <c r="AM51"/>
  <c r="AG51"/>
  <c r="AD51"/>
  <c r="AS51"/>
  <c r="AN47" i="10"/>
  <c r="AM47"/>
  <c r="AL47" i="12"/>
  <c r="AO47"/>
  <c r="AU47"/>
  <c r="AR47"/>
  <c r="AI47"/>
  <c r="AF47"/>
  <c r="AC47"/>
  <c r="AO47" i="10"/>
  <c r="J35" i="12"/>
  <c r="K35"/>
  <c r="E35"/>
  <c r="G35"/>
  <c r="H35"/>
  <c r="I35"/>
  <c r="F35"/>
  <c r="B52"/>
  <c r="AP52" s="1"/>
  <c r="A73"/>
  <c r="AQ47" i="10"/>
  <c r="AQ34" i="12"/>
  <c r="BC34" s="1"/>
  <c r="BK34" s="1"/>
  <c r="AT34"/>
  <c r="BD34" s="1"/>
  <c r="BL34" s="1"/>
  <c r="AK34"/>
  <c r="BA34" s="1"/>
  <c r="BI34" s="1"/>
  <c r="AN34"/>
  <c r="BB34" s="1"/>
  <c r="BJ34" s="1"/>
  <c r="AE34"/>
  <c r="AY34" s="1"/>
  <c r="BG34" s="1"/>
  <c r="AH34"/>
  <c r="AZ34" s="1"/>
  <c r="BH34" s="1"/>
  <c r="AF34" i="10"/>
  <c r="AG34" s="1"/>
  <c r="AH34" s="1"/>
  <c r="AJ34" s="1"/>
  <c r="Y51"/>
  <c r="Z35"/>
  <c r="AA35" s="1"/>
  <c r="AW35" i="12" s="1"/>
  <c r="BE35" s="1"/>
  <c r="BM35" s="1"/>
  <c r="I52" i="10"/>
  <c r="O52"/>
  <c r="K52"/>
  <c r="J52"/>
  <c r="H52"/>
  <c r="G52"/>
  <c r="D50"/>
  <c r="E50" s="1"/>
  <c r="C51"/>
  <c r="L52"/>
  <c r="N49"/>
  <c r="M49"/>
  <c r="X52"/>
  <c r="P48"/>
  <c r="Q48" s="1"/>
  <c r="B53"/>
  <c r="AS52" i="12" l="1"/>
  <c r="AG52"/>
  <c r="AV52"/>
  <c r="AD52"/>
  <c r="AM52"/>
  <c r="AJ52"/>
  <c r="AN48" i="10"/>
  <c r="AM48"/>
  <c r="AL48" i="12"/>
  <c r="AO48"/>
  <c r="AU48"/>
  <c r="AR48"/>
  <c r="AI48"/>
  <c r="AF48"/>
  <c r="AC48"/>
  <c r="AO48" i="10"/>
  <c r="I36" i="12"/>
  <c r="E36"/>
  <c r="J36"/>
  <c r="F36"/>
  <c r="G36"/>
  <c r="H36"/>
  <c r="K36"/>
  <c r="F15" i="13"/>
  <c r="F20"/>
  <c r="F17"/>
  <c r="F12"/>
  <c r="F33"/>
  <c r="F13"/>
  <c r="F16"/>
  <c r="F14"/>
  <c r="T52" i="10"/>
  <c r="F26" i="13"/>
  <c r="B53" i="12"/>
  <c r="AP53" s="1"/>
  <c r="A74"/>
  <c r="AQ48" i="10"/>
  <c r="AQ35" i="12"/>
  <c r="BC35" s="1"/>
  <c r="BK35" s="1"/>
  <c r="AT35"/>
  <c r="BD35" s="1"/>
  <c r="BL35" s="1"/>
  <c r="AK35"/>
  <c r="BA35" s="1"/>
  <c r="BI35" s="1"/>
  <c r="AN35"/>
  <c r="BB35" s="1"/>
  <c r="BJ35" s="1"/>
  <c r="AE35"/>
  <c r="AY35" s="1"/>
  <c r="BG35" s="1"/>
  <c r="AH35"/>
  <c r="AZ35" s="1"/>
  <c r="BH35" s="1"/>
  <c r="AF35" i="10"/>
  <c r="AG35" s="1"/>
  <c r="AH35" s="1"/>
  <c r="AJ35" s="1"/>
  <c r="Y52"/>
  <c r="I53"/>
  <c r="Z36"/>
  <c r="AA36" s="1"/>
  <c r="AW36" i="12" s="1"/>
  <c r="BE36" s="1"/>
  <c r="BM36" s="1"/>
  <c r="C52" i="10"/>
  <c r="D51"/>
  <c r="E51" s="1"/>
  <c r="O53"/>
  <c r="K53"/>
  <c r="J53"/>
  <c r="H53"/>
  <c r="G53"/>
  <c r="L53"/>
  <c r="N50"/>
  <c r="M50"/>
  <c r="X53"/>
  <c r="P49"/>
  <c r="Q49" s="1"/>
  <c r="B54"/>
  <c r="AJ53" i="12" l="1"/>
  <c r="AD53"/>
  <c r="AG53"/>
  <c r="AM53"/>
  <c r="AV53"/>
  <c r="AS53"/>
  <c r="AN49" i="10"/>
  <c r="AM49"/>
  <c r="AL49" i="12"/>
  <c r="AO49"/>
  <c r="AI49"/>
  <c r="AU49"/>
  <c r="AR49"/>
  <c r="AF49"/>
  <c r="AC49"/>
  <c r="AO49" i="10"/>
  <c r="F37" i="12"/>
  <c r="J37"/>
  <c r="H37"/>
  <c r="E37"/>
  <c r="G37"/>
  <c r="K37"/>
  <c r="I37"/>
  <c r="F6" i="13"/>
  <c r="F27"/>
  <c r="V52" i="10"/>
  <c r="F34" i="13"/>
  <c r="T53" i="10"/>
  <c r="F28" i="13"/>
  <c r="T54" i="10"/>
  <c r="B54" i="12"/>
  <c r="AP54" s="1"/>
  <c r="A75"/>
  <c r="AQ49" i="10"/>
  <c r="AQ36" i="12"/>
  <c r="BC36" s="1"/>
  <c r="BK36" s="1"/>
  <c r="AT36"/>
  <c r="BD36" s="1"/>
  <c r="BL36" s="1"/>
  <c r="AK36"/>
  <c r="BA36" s="1"/>
  <c r="BI36" s="1"/>
  <c r="AN36"/>
  <c r="BB36" s="1"/>
  <c r="BJ36" s="1"/>
  <c r="AE36"/>
  <c r="AY36" s="1"/>
  <c r="BG36" s="1"/>
  <c r="AH36"/>
  <c r="AZ36" s="1"/>
  <c r="BH36" s="1"/>
  <c r="AF36" i="10"/>
  <c r="AG36" s="1"/>
  <c r="AH36" s="1"/>
  <c r="AJ36" s="1"/>
  <c r="Y53"/>
  <c r="Z37"/>
  <c r="AA37" s="1"/>
  <c r="AW37" i="12" s="1"/>
  <c r="BE37" s="1"/>
  <c r="BM37" s="1"/>
  <c r="K54" i="10"/>
  <c r="J54"/>
  <c r="H54"/>
  <c r="G54"/>
  <c r="D52"/>
  <c r="C53"/>
  <c r="L54"/>
  <c r="I54"/>
  <c r="N51"/>
  <c r="M51"/>
  <c r="X54"/>
  <c r="P50"/>
  <c r="Q50" s="1"/>
  <c r="B55"/>
  <c r="AS54" i="12" l="1"/>
  <c r="AM54"/>
  <c r="AD54"/>
  <c r="AV54"/>
  <c r="AG54"/>
  <c r="AJ54"/>
  <c r="AN50" i="10"/>
  <c r="AM50"/>
  <c r="AL50" i="12"/>
  <c r="AO50"/>
  <c r="AI50"/>
  <c r="AU50"/>
  <c r="AR50"/>
  <c r="AF50"/>
  <c r="AC50"/>
  <c r="AO50" i="10"/>
  <c r="G38" i="12"/>
  <c r="H38"/>
  <c r="I38"/>
  <c r="E38"/>
  <c r="K38"/>
  <c r="F38"/>
  <c r="J38"/>
  <c r="E52" i="10"/>
  <c r="F7" i="13"/>
  <c r="F9" s="1"/>
  <c r="F30"/>
  <c r="V53" i="10"/>
  <c r="V54" s="1"/>
  <c r="B55" i="12"/>
  <c r="AP55" s="1"/>
  <c r="H2" i="13"/>
  <c r="H2" i="14" s="1"/>
  <c r="A76" i="12"/>
  <c r="AQ50" i="10"/>
  <c r="AQ37" i="12"/>
  <c r="BC37" s="1"/>
  <c r="BK37" s="1"/>
  <c r="AT37"/>
  <c r="BD37" s="1"/>
  <c r="BL37" s="1"/>
  <c r="AK37"/>
  <c r="BA37" s="1"/>
  <c r="BI37" s="1"/>
  <c r="AN37"/>
  <c r="BB37" s="1"/>
  <c r="BJ37" s="1"/>
  <c r="AE37"/>
  <c r="AY37" s="1"/>
  <c r="BG37" s="1"/>
  <c r="AH37"/>
  <c r="AZ37" s="1"/>
  <c r="BH37" s="1"/>
  <c r="AF37" i="10"/>
  <c r="AG37" s="1"/>
  <c r="AH37" s="1"/>
  <c r="AJ37" s="1"/>
  <c r="Y54"/>
  <c r="Z38"/>
  <c r="AA38" s="1"/>
  <c r="AW38" i="12" s="1"/>
  <c r="BE38" s="1"/>
  <c r="BM38" s="1"/>
  <c r="O55" i="10"/>
  <c r="K55"/>
  <c r="J55"/>
  <c r="H55"/>
  <c r="G55"/>
  <c r="D53"/>
  <c r="C54"/>
  <c r="I55"/>
  <c r="L55"/>
  <c r="N52"/>
  <c r="M52"/>
  <c r="X55"/>
  <c r="P51"/>
  <c r="Q51" s="1"/>
  <c r="B56"/>
  <c r="AJ55" i="12" l="1"/>
  <c r="AV55"/>
  <c r="AM55"/>
  <c r="AG55"/>
  <c r="AD55"/>
  <c r="AS55"/>
  <c r="AN51" i="10"/>
  <c r="AM51"/>
  <c r="AL51" i="12"/>
  <c r="AO51"/>
  <c r="AU51"/>
  <c r="AR51"/>
  <c r="AI51"/>
  <c r="AF51"/>
  <c r="AC51"/>
  <c r="AO51" i="10"/>
  <c r="I39" i="12"/>
  <c r="F39"/>
  <c r="E39"/>
  <c r="H39"/>
  <c r="K39"/>
  <c r="G39"/>
  <c r="J39"/>
  <c r="F18" i="13"/>
  <c r="F19"/>
  <c r="E53" i="10"/>
  <c r="T55"/>
  <c r="T56"/>
  <c r="B56" i="12"/>
  <c r="AP56" s="1"/>
  <c r="A77"/>
  <c r="AQ51" i="10"/>
  <c r="AQ38" i="12"/>
  <c r="BC38" s="1"/>
  <c r="BK38" s="1"/>
  <c r="AT38"/>
  <c r="BD38" s="1"/>
  <c r="BL38" s="1"/>
  <c r="AK38"/>
  <c r="BA38" s="1"/>
  <c r="BI38" s="1"/>
  <c r="AN38"/>
  <c r="BB38" s="1"/>
  <c r="BJ38" s="1"/>
  <c r="AE38"/>
  <c r="AY38" s="1"/>
  <c r="BG38" s="1"/>
  <c r="AH38"/>
  <c r="AZ38" s="1"/>
  <c r="BH38" s="1"/>
  <c r="AF38" i="10"/>
  <c r="AG38" s="1"/>
  <c r="AH38" s="1"/>
  <c r="AJ38" s="1"/>
  <c r="Y55"/>
  <c r="Z39"/>
  <c r="AA39" s="1"/>
  <c r="AW39" i="12" s="1"/>
  <c r="BE39" s="1"/>
  <c r="BM39" s="1"/>
  <c r="L56" i="10"/>
  <c r="I56"/>
  <c r="K56"/>
  <c r="J56"/>
  <c r="H56"/>
  <c r="G56"/>
  <c r="C55"/>
  <c r="D54"/>
  <c r="E54" s="1"/>
  <c r="O54" s="1"/>
  <c r="N53"/>
  <c r="M53"/>
  <c r="X56"/>
  <c r="P52"/>
  <c r="Q52" s="1"/>
  <c r="B57"/>
  <c r="AS56" i="12" l="1"/>
  <c r="AG56"/>
  <c r="AV56"/>
  <c r="AD56"/>
  <c r="AM56"/>
  <c r="AJ56"/>
  <c r="AN52" i="10"/>
  <c r="AM52"/>
  <c r="AL52" i="12"/>
  <c r="AO52"/>
  <c r="F34" i="14" s="1"/>
  <c r="AU52" i="12"/>
  <c r="AR52"/>
  <c r="F36" i="14" s="1"/>
  <c r="AI52" i="12"/>
  <c r="AF52"/>
  <c r="F28" i="14" s="1"/>
  <c r="AC52" i="12"/>
  <c r="F26" i="14" s="1"/>
  <c r="AO52" i="10"/>
  <c r="H40" i="12"/>
  <c r="J40"/>
  <c r="I40"/>
  <c r="K40"/>
  <c r="E40"/>
  <c r="F40"/>
  <c r="G40"/>
  <c r="V55" i="10"/>
  <c r="V56" s="1"/>
  <c r="F21" i="13"/>
  <c r="F23" s="1"/>
  <c r="T57" i="10"/>
  <c r="B57" i="12"/>
  <c r="AP57" s="1"/>
  <c r="A78"/>
  <c r="F32" i="14"/>
  <c r="F30"/>
  <c r="AQ52" i="10"/>
  <c r="F38" i="14"/>
  <c r="AQ39" i="12"/>
  <c r="BC39" s="1"/>
  <c r="BK39" s="1"/>
  <c r="AT39"/>
  <c r="BD39" s="1"/>
  <c r="BL39" s="1"/>
  <c r="AK39"/>
  <c r="BA39" s="1"/>
  <c r="BI39" s="1"/>
  <c r="AN39"/>
  <c r="BB39" s="1"/>
  <c r="BJ39" s="1"/>
  <c r="AE39"/>
  <c r="AY39" s="1"/>
  <c r="BG39" s="1"/>
  <c r="AH39"/>
  <c r="AZ39" s="1"/>
  <c r="BH39" s="1"/>
  <c r="AF39" i="10"/>
  <c r="AG39" s="1"/>
  <c r="AH39" s="1"/>
  <c r="AJ39" s="1"/>
  <c r="Y56"/>
  <c r="Z40"/>
  <c r="O57"/>
  <c r="K57"/>
  <c r="J57"/>
  <c r="H57"/>
  <c r="G57"/>
  <c r="L57"/>
  <c r="D55"/>
  <c r="E55" s="1"/>
  <c r="C56"/>
  <c r="I57"/>
  <c r="N54"/>
  <c r="M54"/>
  <c r="X57"/>
  <c r="P53"/>
  <c r="Q53" s="1"/>
  <c r="B58"/>
  <c r="AJ57" i="12" l="1"/>
  <c r="AD57"/>
  <c r="AG57"/>
  <c r="AM57"/>
  <c r="AV57"/>
  <c r="AS57"/>
  <c r="AN53" i="10"/>
  <c r="AM53"/>
  <c r="F57" i="13"/>
  <c r="F56"/>
  <c r="F55"/>
  <c r="AL53" i="12"/>
  <c r="AO53"/>
  <c r="AI53"/>
  <c r="AU53"/>
  <c r="AR53"/>
  <c r="AF53"/>
  <c r="AC53"/>
  <c r="AO53" i="10"/>
  <c r="V57"/>
  <c r="G41" i="12"/>
  <c r="E41"/>
  <c r="I41"/>
  <c r="J41"/>
  <c r="K41"/>
  <c r="H41"/>
  <c r="F41"/>
  <c r="E13" i="14"/>
  <c r="E21" s="1"/>
  <c r="E11"/>
  <c r="E19" s="1"/>
  <c r="E9"/>
  <c r="E17" s="1"/>
  <c r="E14"/>
  <c r="E22" s="1"/>
  <c r="E12"/>
  <c r="E20" s="1"/>
  <c r="E10"/>
  <c r="E18" s="1"/>
  <c r="E8"/>
  <c r="E16" s="1"/>
  <c r="F60" i="13"/>
  <c r="F6" i="14" s="1"/>
  <c r="AA40" i="10"/>
  <c r="AW40" i="12" s="1"/>
  <c r="BE40" s="1"/>
  <c r="BM40" s="1"/>
  <c r="E35" i="13"/>
  <c r="T58" i="10"/>
  <c r="V58" s="1"/>
  <c r="B58" i="12"/>
  <c r="AP58" s="1"/>
  <c r="A79"/>
  <c r="AQ53" i="10"/>
  <c r="Y57"/>
  <c r="Z41"/>
  <c r="AA41" s="1"/>
  <c r="AW41" i="12" s="1"/>
  <c r="BE41" s="1"/>
  <c r="BM41" s="1"/>
  <c r="O58" i="10"/>
  <c r="K58"/>
  <c r="J58"/>
  <c r="H58"/>
  <c r="G58"/>
  <c r="C57"/>
  <c r="D56"/>
  <c r="E56" s="1"/>
  <c r="L58"/>
  <c r="I58"/>
  <c r="N55"/>
  <c r="M55"/>
  <c r="X58"/>
  <c r="P54"/>
  <c r="Q54" s="1"/>
  <c r="B59"/>
  <c r="AS58" i="12" l="1"/>
  <c r="AM58"/>
  <c r="AD58"/>
  <c r="AV58"/>
  <c r="AG58"/>
  <c r="AJ58"/>
  <c r="AM54" i="10"/>
  <c r="AN54"/>
  <c r="AL54" i="12"/>
  <c r="AO54"/>
  <c r="AI54"/>
  <c r="AU54"/>
  <c r="AR54"/>
  <c r="AF54"/>
  <c r="AC54"/>
  <c r="AO54" i="10"/>
  <c r="K42" i="12"/>
  <c r="E42"/>
  <c r="G42"/>
  <c r="J42"/>
  <c r="H42"/>
  <c r="I42"/>
  <c r="F42"/>
  <c r="AK40"/>
  <c r="BA40" s="1"/>
  <c r="BI40" s="1"/>
  <c r="AF40" i="10"/>
  <c r="E44" i="13" s="1"/>
  <c r="AE40" i="12"/>
  <c r="AY40" s="1"/>
  <c r="BG40" s="1"/>
  <c r="AQ40"/>
  <c r="BC40" s="1"/>
  <c r="BK40" s="1"/>
  <c r="E36" i="13"/>
  <c r="E39" i="14" s="1"/>
  <c r="E47" s="1"/>
  <c r="AH40" i="12"/>
  <c r="AZ40" s="1"/>
  <c r="BH40" s="1"/>
  <c r="AN40"/>
  <c r="BB40" s="1"/>
  <c r="BJ40" s="1"/>
  <c r="AT40"/>
  <c r="BD40" s="1"/>
  <c r="BL40" s="1"/>
  <c r="F62" i="13"/>
  <c r="AG40" i="10"/>
  <c r="T59"/>
  <c r="V59" s="1"/>
  <c r="B59" i="12"/>
  <c r="AP59" s="1"/>
  <c r="A80"/>
  <c r="AQ54" i="10"/>
  <c r="AQ41" i="12"/>
  <c r="BC41" s="1"/>
  <c r="BK41" s="1"/>
  <c r="AT41"/>
  <c r="BD41" s="1"/>
  <c r="BL41" s="1"/>
  <c r="AK41"/>
  <c r="BA41" s="1"/>
  <c r="BI41" s="1"/>
  <c r="AN41"/>
  <c r="BB41" s="1"/>
  <c r="BJ41" s="1"/>
  <c r="AE41"/>
  <c r="AY41" s="1"/>
  <c r="BG41" s="1"/>
  <c r="AH41"/>
  <c r="AZ41" s="1"/>
  <c r="BH41" s="1"/>
  <c r="AF41" i="10"/>
  <c r="AG41" s="1"/>
  <c r="AH41" s="1"/>
  <c r="AJ41" s="1"/>
  <c r="Y58"/>
  <c r="Z42"/>
  <c r="AA42" s="1"/>
  <c r="AW42" i="12" s="1"/>
  <c r="BE42" s="1"/>
  <c r="BM42" s="1"/>
  <c r="D57" i="10"/>
  <c r="E57" s="1"/>
  <c r="C58"/>
  <c r="L59"/>
  <c r="O59"/>
  <c r="K59"/>
  <c r="J59"/>
  <c r="H59"/>
  <c r="G59"/>
  <c r="I59"/>
  <c r="O56"/>
  <c r="N56"/>
  <c r="M56"/>
  <c r="X59"/>
  <c r="P55"/>
  <c r="Q55" s="1"/>
  <c r="B60"/>
  <c r="AJ59" i="12" l="1"/>
  <c r="AV59"/>
  <c r="AM59"/>
  <c r="AG59"/>
  <c r="AD59"/>
  <c r="AS59"/>
  <c r="AM55" i="10"/>
  <c r="AN55"/>
  <c r="AL55" i="12"/>
  <c r="AO55"/>
  <c r="AU55"/>
  <c r="AR55"/>
  <c r="AI55"/>
  <c r="AF55"/>
  <c r="AC55"/>
  <c r="AO55" i="10"/>
  <c r="H43" i="12"/>
  <c r="J43"/>
  <c r="E43"/>
  <c r="K43"/>
  <c r="F43"/>
  <c r="I43"/>
  <c r="G43"/>
  <c r="E37" i="14"/>
  <c r="E46" s="1"/>
  <c r="E35"/>
  <c r="E45" s="1"/>
  <c r="E33"/>
  <c r="E44" s="1"/>
  <c r="E31"/>
  <c r="E43" s="1"/>
  <c r="E29"/>
  <c r="E42" s="1"/>
  <c r="E27"/>
  <c r="E41" s="1"/>
  <c r="E61" i="13"/>
  <c r="AH40" i="10"/>
  <c r="E45" i="13"/>
  <c r="T60" i="10"/>
  <c r="V60" s="1"/>
  <c r="B60" i="12"/>
  <c r="AP60" s="1"/>
  <c r="A81"/>
  <c r="AQ55" i="10"/>
  <c r="AQ42" i="12"/>
  <c r="BC42" s="1"/>
  <c r="BK42" s="1"/>
  <c r="AT42"/>
  <c r="BD42" s="1"/>
  <c r="BL42" s="1"/>
  <c r="AK42"/>
  <c r="BA42" s="1"/>
  <c r="BI42" s="1"/>
  <c r="AN42"/>
  <c r="BB42" s="1"/>
  <c r="BJ42" s="1"/>
  <c r="AE42"/>
  <c r="AY42" s="1"/>
  <c r="BG42" s="1"/>
  <c r="AH42"/>
  <c r="AZ42" s="1"/>
  <c r="BH42" s="1"/>
  <c r="AF42" i="10"/>
  <c r="AG42" s="1"/>
  <c r="AH42" s="1"/>
  <c r="AJ42" s="1"/>
  <c r="Y59"/>
  <c r="I60"/>
  <c r="Z43"/>
  <c r="AA43" s="1"/>
  <c r="AW43" i="12" s="1"/>
  <c r="BE43" s="1"/>
  <c r="BM43" s="1"/>
  <c r="O60" i="10"/>
  <c r="K60"/>
  <c r="J60"/>
  <c r="H60"/>
  <c r="G60"/>
  <c r="L60"/>
  <c r="D58"/>
  <c r="E58" s="1"/>
  <c r="C59"/>
  <c r="N57"/>
  <c r="M57"/>
  <c r="X60"/>
  <c r="P56"/>
  <c r="Q56" s="1"/>
  <c r="B61"/>
  <c r="AS60" i="12" l="1"/>
  <c r="AG60"/>
  <c r="AV60"/>
  <c r="AD60"/>
  <c r="AM60"/>
  <c r="AJ60"/>
  <c r="AN56" i="10"/>
  <c r="AM56"/>
  <c r="E63" i="13"/>
  <c r="E65"/>
  <c r="AL56" i="12"/>
  <c r="AO56"/>
  <c r="AU56"/>
  <c r="AR56"/>
  <c r="AI56"/>
  <c r="AF56"/>
  <c r="AC56"/>
  <c r="AO56" i="10"/>
  <c r="E44" i="12"/>
  <c r="H44"/>
  <c r="F44"/>
  <c r="G44"/>
  <c r="K44"/>
  <c r="J44"/>
  <c r="I44"/>
  <c r="AJ40" i="10"/>
  <c r="E47" i="13"/>
  <c r="T61" i="10"/>
  <c r="V61" s="1"/>
  <c r="B61" i="12"/>
  <c r="AP61" s="1"/>
  <c r="A82"/>
  <c r="AQ56" i="10"/>
  <c r="AQ43" i="12"/>
  <c r="BC43" s="1"/>
  <c r="BK43" s="1"/>
  <c r="AT43"/>
  <c r="BD43" s="1"/>
  <c r="BL43" s="1"/>
  <c r="AK43"/>
  <c r="BA43" s="1"/>
  <c r="BI43" s="1"/>
  <c r="AN43"/>
  <c r="BB43" s="1"/>
  <c r="BJ43" s="1"/>
  <c r="AE43"/>
  <c r="AY43" s="1"/>
  <c r="BG43" s="1"/>
  <c r="AH43"/>
  <c r="AZ43" s="1"/>
  <c r="BH43" s="1"/>
  <c r="AF43" i="10"/>
  <c r="AG43" s="1"/>
  <c r="AH43" s="1"/>
  <c r="AJ43" s="1"/>
  <c r="Y60"/>
  <c r="Z44"/>
  <c r="AA44" s="1"/>
  <c r="AW44" i="12" s="1"/>
  <c r="BE44" s="1"/>
  <c r="BM44" s="1"/>
  <c r="C60" i="10"/>
  <c r="D59"/>
  <c r="E59" s="1"/>
  <c r="L61"/>
  <c r="O61"/>
  <c r="K61"/>
  <c r="J61"/>
  <c r="H61"/>
  <c r="G61"/>
  <c r="I61"/>
  <c r="N58"/>
  <c r="M58"/>
  <c r="X61"/>
  <c r="P57"/>
  <c r="Q57" s="1"/>
  <c r="B62"/>
  <c r="AJ61" i="12" l="1"/>
  <c r="AD61"/>
  <c r="AG61"/>
  <c r="AM61"/>
  <c r="AV61"/>
  <c r="AS61"/>
  <c r="AM57" i="10"/>
  <c r="AN57"/>
  <c r="AL57" i="12"/>
  <c r="AO57"/>
  <c r="AI57"/>
  <c r="AU57"/>
  <c r="AR57"/>
  <c r="AF57"/>
  <c r="AC57"/>
  <c r="AO57" i="10"/>
  <c r="H45" i="12"/>
  <c r="J45"/>
  <c r="G45"/>
  <c r="K45"/>
  <c r="E45"/>
  <c r="I45"/>
  <c r="F45"/>
  <c r="E52" i="13"/>
  <c r="T62" i="10"/>
  <c r="V62" s="1"/>
  <c r="B62" i="12"/>
  <c r="AP62" s="1"/>
  <c r="A83"/>
  <c r="AQ57" i="10"/>
  <c r="AQ44" i="12"/>
  <c r="BC44" s="1"/>
  <c r="BK44" s="1"/>
  <c r="AT44"/>
  <c r="BD44" s="1"/>
  <c r="BL44" s="1"/>
  <c r="AK44"/>
  <c r="BA44" s="1"/>
  <c r="BI44" s="1"/>
  <c r="AN44"/>
  <c r="BB44" s="1"/>
  <c r="BJ44" s="1"/>
  <c r="AE44"/>
  <c r="AY44" s="1"/>
  <c r="BG44" s="1"/>
  <c r="AH44"/>
  <c r="AZ44" s="1"/>
  <c r="BH44" s="1"/>
  <c r="AF44" i="10"/>
  <c r="AG44" s="1"/>
  <c r="AH44" s="1"/>
  <c r="AJ44" s="1"/>
  <c r="Y61"/>
  <c r="Z45"/>
  <c r="AA45" s="1"/>
  <c r="AW45" i="12" s="1"/>
  <c r="BE45" s="1"/>
  <c r="BM45" s="1"/>
  <c r="D60" i="10"/>
  <c r="E60" s="1"/>
  <c r="C61"/>
  <c r="L62"/>
  <c r="O62"/>
  <c r="K62"/>
  <c r="J62"/>
  <c r="H62"/>
  <c r="G62"/>
  <c r="I62"/>
  <c r="N59"/>
  <c r="M59"/>
  <c r="X62"/>
  <c r="P58"/>
  <c r="Q58" s="1"/>
  <c r="B63"/>
  <c r="AS62" i="12" l="1"/>
  <c r="AM62"/>
  <c r="AD62"/>
  <c r="AV62"/>
  <c r="AG62"/>
  <c r="AJ62"/>
  <c r="AM58" i="10"/>
  <c r="AN58"/>
  <c r="AL58" i="12"/>
  <c r="AO58"/>
  <c r="AI58"/>
  <c r="AU58"/>
  <c r="AR58"/>
  <c r="AF58"/>
  <c r="AC58"/>
  <c r="AO58" i="10"/>
  <c r="F46" i="12"/>
  <c r="K46"/>
  <c r="I46"/>
  <c r="E46"/>
  <c r="J46"/>
  <c r="G46"/>
  <c r="H46"/>
  <c r="T63" i="10"/>
  <c r="B63" i="12"/>
  <c r="AP63" s="1"/>
  <c r="V63" i="10"/>
  <c r="A84" i="12"/>
  <c r="AQ58" i="10"/>
  <c r="AQ45" i="12"/>
  <c r="BC45" s="1"/>
  <c r="BK45" s="1"/>
  <c r="AT45"/>
  <c r="BD45" s="1"/>
  <c r="BL45" s="1"/>
  <c r="AK45"/>
  <c r="BA45" s="1"/>
  <c r="BI45" s="1"/>
  <c r="AN45"/>
  <c r="BB45" s="1"/>
  <c r="BJ45" s="1"/>
  <c r="AE45"/>
  <c r="AY45" s="1"/>
  <c r="BG45" s="1"/>
  <c r="AH45"/>
  <c r="AZ45" s="1"/>
  <c r="BH45" s="1"/>
  <c r="AF45" i="10"/>
  <c r="AG45" s="1"/>
  <c r="AH45" s="1"/>
  <c r="AJ45" s="1"/>
  <c r="Y62"/>
  <c r="Z46"/>
  <c r="AA46" s="1"/>
  <c r="AW46" i="12" s="1"/>
  <c r="BE46" s="1"/>
  <c r="BM46" s="1"/>
  <c r="O63" i="10"/>
  <c r="K63"/>
  <c r="J63"/>
  <c r="H63"/>
  <c r="G63"/>
  <c r="I63"/>
  <c r="L63"/>
  <c r="D61"/>
  <c r="E61" s="1"/>
  <c r="C62"/>
  <c r="N60"/>
  <c r="M60"/>
  <c r="X63"/>
  <c r="P59"/>
  <c r="Q59" s="1"/>
  <c r="B64"/>
  <c r="AJ63" i="12" l="1"/>
  <c r="AV63"/>
  <c r="AM63"/>
  <c r="AG63"/>
  <c r="AD63"/>
  <c r="AS63"/>
  <c r="AM59" i="10"/>
  <c r="AN59"/>
  <c r="AL59" i="12"/>
  <c r="AO59"/>
  <c r="AU59"/>
  <c r="AR59"/>
  <c r="AI59"/>
  <c r="AF59"/>
  <c r="AC59"/>
  <c r="AO59" i="10"/>
  <c r="G47" i="12"/>
  <c r="H47"/>
  <c r="I47"/>
  <c r="E47"/>
  <c r="K47"/>
  <c r="J47"/>
  <c r="F47"/>
  <c r="B64"/>
  <c r="AP64" s="1"/>
  <c r="A85"/>
  <c r="AQ59" i="10"/>
  <c r="AQ46" i="12"/>
  <c r="BC46" s="1"/>
  <c r="BK46" s="1"/>
  <c r="AT46"/>
  <c r="BD46" s="1"/>
  <c r="BL46" s="1"/>
  <c r="AK46"/>
  <c r="BA46" s="1"/>
  <c r="BI46" s="1"/>
  <c r="AN46"/>
  <c r="BB46" s="1"/>
  <c r="BJ46" s="1"/>
  <c r="AE46"/>
  <c r="AY46" s="1"/>
  <c r="BG46" s="1"/>
  <c r="AH46"/>
  <c r="AZ46" s="1"/>
  <c r="BH46" s="1"/>
  <c r="AF46" i="10"/>
  <c r="AG46" s="1"/>
  <c r="AH46" s="1"/>
  <c r="AJ46" s="1"/>
  <c r="Y63"/>
  <c r="Z47"/>
  <c r="AA47" s="1"/>
  <c r="AW47" i="12" s="1"/>
  <c r="BE47" s="1"/>
  <c r="BM47" s="1"/>
  <c r="O64" i="10"/>
  <c r="K64"/>
  <c r="J64"/>
  <c r="H64"/>
  <c r="G64"/>
  <c r="D62"/>
  <c r="E62" s="1"/>
  <c r="C63"/>
  <c r="I64"/>
  <c r="L64"/>
  <c r="N61"/>
  <c r="M61"/>
  <c r="X64"/>
  <c r="P60"/>
  <c r="Q60" s="1"/>
  <c r="B65"/>
  <c r="AS64" i="12" l="1"/>
  <c r="AG64"/>
  <c r="AV64"/>
  <c r="AD64"/>
  <c r="AM64"/>
  <c r="AJ64"/>
  <c r="AN60" i="10"/>
  <c r="AM60"/>
  <c r="AL60" i="12"/>
  <c r="AO60"/>
  <c r="AU60"/>
  <c r="AR60"/>
  <c r="AI60"/>
  <c r="AF60"/>
  <c r="AC60"/>
  <c r="AO60" i="10"/>
  <c r="F48" i="12"/>
  <c r="E48"/>
  <c r="G48"/>
  <c r="J48"/>
  <c r="K48"/>
  <c r="H48"/>
  <c r="I48"/>
  <c r="G13" i="13"/>
  <c r="G16"/>
  <c r="G33"/>
  <c r="G14"/>
  <c r="G12"/>
  <c r="G15"/>
  <c r="G20"/>
  <c r="G17"/>
  <c r="T64" i="10"/>
  <c r="G26" i="13"/>
  <c r="B65" i="12"/>
  <c r="AP65" s="1"/>
  <c r="A86"/>
  <c r="AQ60" i="10"/>
  <c r="AQ47" i="12"/>
  <c r="BC47" s="1"/>
  <c r="BK47" s="1"/>
  <c r="AT47"/>
  <c r="BD47" s="1"/>
  <c r="BL47" s="1"/>
  <c r="AK47"/>
  <c r="BA47" s="1"/>
  <c r="BI47" s="1"/>
  <c r="AN47"/>
  <c r="BB47" s="1"/>
  <c r="BJ47" s="1"/>
  <c r="AE47"/>
  <c r="AY47" s="1"/>
  <c r="BG47" s="1"/>
  <c r="AH47"/>
  <c r="AZ47" s="1"/>
  <c r="BH47" s="1"/>
  <c r="AF47" i="10"/>
  <c r="AG47" s="1"/>
  <c r="AH47" s="1"/>
  <c r="AJ47" s="1"/>
  <c r="Y64"/>
  <c r="Z48"/>
  <c r="AA48" s="1"/>
  <c r="AW48" i="12" s="1"/>
  <c r="BE48" s="1"/>
  <c r="BM48" s="1"/>
  <c r="D63" i="10"/>
  <c r="E63" s="1"/>
  <c r="C64"/>
  <c r="L65"/>
  <c r="O65"/>
  <c r="K65"/>
  <c r="J65"/>
  <c r="H65"/>
  <c r="G65"/>
  <c r="I65"/>
  <c r="N62"/>
  <c r="M62"/>
  <c r="X65"/>
  <c r="P61"/>
  <c r="Q61" s="1"/>
  <c r="B66"/>
  <c r="AJ65" i="12" l="1"/>
  <c r="AD65"/>
  <c r="AG65"/>
  <c r="AM65"/>
  <c r="AV65"/>
  <c r="AS65"/>
  <c r="AN61" i="10"/>
  <c r="AM61"/>
  <c r="AL61" i="12"/>
  <c r="AO61"/>
  <c r="AI61"/>
  <c r="AU61"/>
  <c r="AR61"/>
  <c r="AF61"/>
  <c r="AC61"/>
  <c r="AO61" i="10"/>
  <c r="H49" i="12"/>
  <c r="F49"/>
  <c r="K49"/>
  <c r="I49"/>
  <c r="G49"/>
  <c r="E49"/>
  <c r="J49"/>
  <c r="G34" i="13"/>
  <c r="V64" i="10"/>
  <c r="G27" i="13"/>
  <c r="G28" s="1"/>
  <c r="G6"/>
  <c r="T65" i="10"/>
  <c r="T66"/>
  <c r="B66" i="12"/>
  <c r="AP66" s="1"/>
  <c r="A87"/>
  <c r="AQ61" i="10"/>
  <c r="AQ48" i="12"/>
  <c r="BC48" s="1"/>
  <c r="BK48" s="1"/>
  <c r="AT48"/>
  <c r="BD48" s="1"/>
  <c r="BL48" s="1"/>
  <c r="AK48"/>
  <c r="BA48" s="1"/>
  <c r="BI48" s="1"/>
  <c r="AN48"/>
  <c r="BB48" s="1"/>
  <c r="BJ48" s="1"/>
  <c r="AE48"/>
  <c r="AY48" s="1"/>
  <c r="BG48" s="1"/>
  <c r="AH48"/>
  <c r="AZ48" s="1"/>
  <c r="BH48" s="1"/>
  <c r="AF48" i="10"/>
  <c r="AG48" s="1"/>
  <c r="AH48" s="1"/>
  <c r="AJ48" s="1"/>
  <c r="Y65"/>
  <c r="Z49"/>
  <c r="AA49" s="1"/>
  <c r="AW49" i="12" s="1"/>
  <c r="BE49" s="1"/>
  <c r="BM49" s="1"/>
  <c r="K66" i="10"/>
  <c r="J66"/>
  <c r="H66"/>
  <c r="G66"/>
  <c r="I66"/>
  <c r="L66"/>
  <c r="C65"/>
  <c r="D64"/>
  <c r="N63"/>
  <c r="M63"/>
  <c r="X66"/>
  <c r="P62"/>
  <c r="Q62" s="1"/>
  <c r="B67"/>
  <c r="AS66" i="12" l="1"/>
  <c r="AM66"/>
  <c r="AD66"/>
  <c r="AV66"/>
  <c r="AG66"/>
  <c r="AJ66"/>
  <c r="AM62" i="10"/>
  <c r="AN62"/>
  <c r="AL62" i="12"/>
  <c r="AO62"/>
  <c r="AI62"/>
  <c r="AU62"/>
  <c r="AR62"/>
  <c r="AF62"/>
  <c r="AC62"/>
  <c r="AO62" i="10"/>
  <c r="J50" i="12"/>
  <c r="F50"/>
  <c r="I50"/>
  <c r="H50"/>
  <c r="E50"/>
  <c r="G50"/>
  <c r="K50"/>
  <c r="G30" i="13"/>
  <c r="E64" i="10"/>
  <c r="G7" i="13"/>
  <c r="G9" s="1"/>
  <c r="V65" i="10"/>
  <c r="V66" s="1"/>
  <c r="T67"/>
  <c r="B67" i="12"/>
  <c r="AP67" s="1"/>
  <c r="I2" i="13"/>
  <c r="I2" i="14" s="1"/>
  <c r="A88" i="12"/>
  <c r="AQ62" i="10"/>
  <c r="AQ49" i="12"/>
  <c r="BC49" s="1"/>
  <c r="BK49" s="1"/>
  <c r="AT49"/>
  <c r="BD49" s="1"/>
  <c r="BL49" s="1"/>
  <c r="AK49"/>
  <c r="BA49" s="1"/>
  <c r="BI49" s="1"/>
  <c r="AN49"/>
  <c r="BB49" s="1"/>
  <c r="BJ49" s="1"/>
  <c r="AE49"/>
  <c r="AY49" s="1"/>
  <c r="BG49" s="1"/>
  <c r="AH49"/>
  <c r="AZ49" s="1"/>
  <c r="BH49" s="1"/>
  <c r="AF49" i="10"/>
  <c r="AG49" s="1"/>
  <c r="AH49" s="1"/>
  <c r="AJ49" s="1"/>
  <c r="Y66"/>
  <c r="Z50"/>
  <c r="AA50" s="1"/>
  <c r="AW50" i="12" s="1"/>
  <c r="BE50" s="1"/>
  <c r="BM50" s="1"/>
  <c r="L67" i="10"/>
  <c r="O67"/>
  <c r="K67"/>
  <c r="J67"/>
  <c r="H67"/>
  <c r="G67"/>
  <c r="D65"/>
  <c r="C66"/>
  <c r="I67"/>
  <c r="N64"/>
  <c r="M64"/>
  <c r="X67"/>
  <c r="P63"/>
  <c r="Q63" s="1"/>
  <c r="B68"/>
  <c r="AJ67" i="12" l="1"/>
  <c r="AV67"/>
  <c r="AM67"/>
  <c r="AG67"/>
  <c r="AD67"/>
  <c r="AS67"/>
  <c r="AN63" i="10"/>
  <c r="AM63"/>
  <c r="AL63" i="12"/>
  <c r="AO63"/>
  <c r="AU63"/>
  <c r="AR63"/>
  <c r="AI63"/>
  <c r="AF63"/>
  <c r="AC63"/>
  <c r="AO63" i="10"/>
  <c r="V67"/>
  <c r="J51" i="12"/>
  <c r="F51"/>
  <c r="G51"/>
  <c r="I51"/>
  <c r="H51"/>
  <c r="K51"/>
  <c r="E51"/>
  <c r="G18" i="13"/>
  <c r="E65" i="10"/>
  <c r="G19" i="13"/>
  <c r="B68" i="12"/>
  <c r="AP68" s="1"/>
  <c r="A89"/>
  <c r="AQ63" i="10"/>
  <c r="AQ50" i="12"/>
  <c r="BC50" s="1"/>
  <c r="BK50" s="1"/>
  <c r="AT50"/>
  <c r="BD50" s="1"/>
  <c r="BL50" s="1"/>
  <c r="AK50"/>
  <c r="BA50" s="1"/>
  <c r="BI50" s="1"/>
  <c r="AN50"/>
  <c r="BB50" s="1"/>
  <c r="BJ50" s="1"/>
  <c r="AE50"/>
  <c r="AY50" s="1"/>
  <c r="BG50" s="1"/>
  <c r="AH50"/>
  <c r="AZ50" s="1"/>
  <c r="BH50" s="1"/>
  <c r="AF50" i="10"/>
  <c r="AG50" s="1"/>
  <c r="AH50" s="1"/>
  <c r="AJ50" s="1"/>
  <c r="Y67"/>
  <c r="Z51"/>
  <c r="AA51" s="1"/>
  <c r="AW51" i="12" s="1"/>
  <c r="BE51" s="1"/>
  <c r="BM51" s="1"/>
  <c r="K68" i="10"/>
  <c r="J68"/>
  <c r="H68"/>
  <c r="G68"/>
  <c r="C67"/>
  <c r="D66"/>
  <c r="E66" s="1"/>
  <c r="O66" s="1"/>
  <c r="L68"/>
  <c r="I68"/>
  <c r="N65"/>
  <c r="M65"/>
  <c r="X68"/>
  <c r="P64"/>
  <c r="Q64" s="1"/>
  <c r="B69"/>
  <c r="AS68" i="12" l="1"/>
  <c r="AG68"/>
  <c r="AV68"/>
  <c r="AD68"/>
  <c r="AM68"/>
  <c r="AJ68"/>
  <c r="AN64" i="10"/>
  <c r="AM64"/>
  <c r="AL64" i="12"/>
  <c r="AO64"/>
  <c r="G34" i="14" s="1"/>
  <c r="AU64" i="12"/>
  <c r="G38" i="14" s="1"/>
  <c r="AR64" i="12"/>
  <c r="G36" i="14" s="1"/>
  <c r="AI64" i="12"/>
  <c r="G30" i="14" s="1"/>
  <c r="AF64" i="12"/>
  <c r="G28" i="14" s="1"/>
  <c r="AC64" i="12"/>
  <c r="G26" i="14" s="1"/>
  <c r="AO64" i="10"/>
  <c r="H52" i="12"/>
  <c r="F52"/>
  <c r="I52"/>
  <c r="E52"/>
  <c r="J52"/>
  <c r="G52"/>
  <c r="K52"/>
  <c r="G21" i="13"/>
  <c r="G23" s="1"/>
  <c r="T68" i="10"/>
  <c r="T69"/>
  <c r="B69" i="12"/>
  <c r="AP69" s="1"/>
  <c r="A90"/>
  <c r="G32" i="14"/>
  <c r="AQ64" i="10"/>
  <c r="AQ51" i="12"/>
  <c r="BC51" s="1"/>
  <c r="BK51" s="1"/>
  <c r="AT51"/>
  <c r="BD51" s="1"/>
  <c r="BL51" s="1"/>
  <c r="AK51"/>
  <c r="BA51" s="1"/>
  <c r="BI51" s="1"/>
  <c r="AN51"/>
  <c r="BB51" s="1"/>
  <c r="BJ51" s="1"/>
  <c r="AE51"/>
  <c r="AY51" s="1"/>
  <c r="BG51" s="1"/>
  <c r="AH51"/>
  <c r="AZ51" s="1"/>
  <c r="BH51" s="1"/>
  <c r="AF51" i="10"/>
  <c r="AG51" s="1"/>
  <c r="AH51" s="1"/>
  <c r="AJ51" s="1"/>
  <c r="Y68"/>
  <c r="Z52"/>
  <c r="O69"/>
  <c r="K69"/>
  <c r="J69"/>
  <c r="H69"/>
  <c r="G69"/>
  <c r="I69"/>
  <c r="D67"/>
  <c r="E67" s="1"/>
  <c r="C68"/>
  <c r="L69"/>
  <c r="N66"/>
  <c r="M66"/>
  <c r="X69"/>
  <c r="P65"/>
  <c r="Q65" s="1"/>
  <c r="B70"/>
  <c r="AJ69" i="12" l="1"/>
  <c r="AD69"/>
  <c r="AG69"/>
  <c r="AM69"/>
  <c r="AV69"/>
  <c r="AS69"/>
  <c r="AN65" i="10"/>
  <c r="AM65"/>
  <c r="G57" i="13"/>
  <c r="G56"/>
  <c r="G55"/>
  <c r="AL65" i="12"/>
  <c r="AO65"/>
  <c r="AI65"/>
  <c r="AU65"/>
  <c r="AR65"/>
  <c r="AF65"/>
  <c r="AC65"/>
  <c r="AO65" i="10"/>
  <c r="H53" i="12"/>
  <c r="J53"/>
  <c r="K53"/>
  <c r="F53"/>
  <c r="G53"/>
  <c r="E53"/>
  <c r="I53"/>
  <c r="F14" i="14"/>
  <c r="F22" s="1"/>
  <c r="F12"/>
  <c r="F20" s="1"/>
  <c r="F10"/>
  <c r="F18" s="1"/>
  <c r="F8"/>
  <c r="F16" s="1"/>
  <c r="F13"/>
  <c r="F21" s="1"/>
  <c r="F11"/>
  <c r="F19" s="1"/>
  <c r="F9"/>
  <c r="F17" s="1"/>
  <c r="G60" i="13"/>
  <c r="G6" i="14" s="1"/>
  <c r="V68" i="10"/>
  <c r="V69" s="1"/>
  <c r="AA52"/>
  <c r="AK52" i="12" s="1"/>
  <c r="BA52" s="1"/>
  <c r="BI52" s="1"/>
  <c r="F35" i="13"/>
  <c r="T70" i="10"/>
  <c r="B70" i="12"/>
  <c r="AP70" s="1"/>
  <c r="A91"/>
  <c r="AQ65" i="10"/>
  <c r="Y69"/>
  <c r="Z53"/>
  <c r="AA53" s="1"/>
  <c r="AW53" i="12" s="1"/>
  <c r="BE53" s="1"/>
  <c r="BM53" s="1"/>
  <c r="O70" i="10"/>
  <c r="K70"/>
  <c r="J70"/>
  <c r="H70"/>
  <c r="G70"/>
  <c r="C69"/>
  <c r="D68"/>
  <c r="E68" s="1"/>
  <c r="I70"/>
  <c r="L70"/>
  <c r="N67"/>
  <c r="M67"/>
  <c r="X70"/>
  <c r="P66"/>
  <c r="Q66" s="1"/>
  <c r="B71"/>
  <c r="AS70" i="12" l="1"/>
  <c r="AM70"/>
  <c r="AD70"/>
  <c r="AV70"/>
  <c r="AG70"/>
  <c r="AJ70"/>
  <c r="AM66" i="10"/>
  <c r="AN66"/>
  <c r="AL66" i="12"/>
  <c r="AO66"/>
  <c r="AI66"/>
  <c r="AU66"/>
  <c r="AR66"/>
  <c r="AF66"/>
  <c r="AC66"/>
  <c r="AO66" i="10"/>
  <c r="V70"/>
  <c r="H54" i="12"/>
  <c r="F54"/>
  <c r="J54"/>
  <c r="G54"/>
  <c r="I54"/>
  <c r="K54"/>
  <c r="E54"/>
  <c r="F36" i="13"/>
  <c r="F39" i="14" s="1"/>
  <c r="F47" s="1"/>
  <c r="AQ52" i="12"/>
  <c r="BC52" s="1"/>
  <c r="BK52" s="1"/>
  <c r="AF52" i="10"/>
  <c r="AG52" s="1"/>
  <c r="AE52" i="12"/>
  <c r="AY52" s="1"/>
  <c r="BG52" s="1"/>
  <c r="AH52"/>
  <c r="AZ52" s="1"/>
  <c r="BH52" s="1"/>
  <c r="AN52"/>
  <c r="BB52" s="1"/>
  <c r="BJ52" s="1"/>
  <c r="AT52"/>
  <c r="BD52" s="1"/>
  <c r="BL52" s="1"/>
  <c r="AW52"/>
  <c r="BE52" s="1"/>
  <c r="BM52" s="1"/>
  <c r="G62" i="13"/>
  <c r="T71" i="10"/>
  <c r="B71" i="12"/>
  <c r="AP71" s="1"/>
  <c r="A92"/>
  <c r="AQ66" i="10"/>
  <c r="AQ53" i="12"/>
  <c r="BC53" s="1"/>
  <c r="BK53" s="1"/>
  <c r="AT53"/>
  <c r="BD53" s="1"/>
  <c r="BL53" s="1"/>
  <c r="AK53"/>
  <c r="BA53" s="1"/>
  <c r="BI53" s="1"/>
  <c r="AN53"/>
  <c r="BB53" s="1"/>
  <c r="BJ53" s="1"/>
  <c r="AE53"/>
  <c r="AY53" s="1"/>
  <c r="BG53" s="1"/>
  <c r="AH53"/>
  <c r="AZ53" s="1"/>
  <c r="BH53" s="1"/>
  <c r="AF53" i="10"/>
  <c r="AG53" s="1"/>
  <c r="AH53" s="1"/>
  <c r="AJ53" s="1"/>
  <c r="Y70"/>
  <c r="D5" i="12"/>
  <c r="AD5" i="10"/>
  <c r="AR6"/>
  <c r="AD6"/>
  <c r="AE6" s="1"/>
  <c r="AX6" s="1"/>
  <c r="Z54"/>
  <c r="AA54" s="1"/>
  <c r="AW54" i="12" s="1"/>
  <c r="BE54" s="1"/>
  <c r="BM54" s="1"/>
  <c r="D69" i="10"/>
  <c r="E69" s="1"/>
  <c r="C70"/>
  <c r="I71"/>
  <c r="O71"/>
  <c r="K71"/>
  <c r="J71"/>
  <c r="H71"/>
  <c r="G71"/>
  <c r="L71"/>
  <c r="O68"/>
  <c r="N68"/>
  <c r="M68"/>
  <c r="X71"/>
  <c r="P67"/>
  <c r="Q67" s="1"/>
  <c r="B72"/>
  <c r="AJ71" i="12" l="1"/>
  <c r="AV71"/>
  <c r="AM71"/>
  <c r="AG71"/>
  <c r="AD71"/>
  <c r="AS71"/>
  <c r="AN67" i="10"/>
  <c r="AM67"/>
  <c r="AS6"/>
  <c r="AT6" s="1"/>
  <c r="AU6"/>
  <c r="AV6" s="1"/>
  <c r="Q6" i="12"/>
  <c r="Y6" s="1"/>
  <c r="M6"/>
  <c r="U6" s="1"/>
  <c r="S6"/>
  <c r="AA6" s="1"/>
  <c r="N6"/>
  <c r="V6" s="1"/>
  <c r="O6"/>
  <c r="W6" s="1"/>
  <c r="R6"/>
  <c r="Z6" s="1"/>
  <c r="P6"/>
  <c r="X6" s="1"/>
  <c r="AL67"/>
  <c r="AO67"/>
  <c r="AU67"/>
  <c r="AR67"/>
  <c r="AI67"/>
  <c r="AF67"/>
  <c r="AC67"/>
  <c r="AO67" i="10"/>
  <c r="V71"/>
  <c r="K55" i="12"/>
  <c r="J55"/>
  <c r="G55"/>
  <c r="I55"/>
  <c r="F55"/>
  <c r="H55"/>
  <c r="E55"/>
  <c r="F37" i="14"/>
  <c r="F46" s="1"/>
  <c r="F35"/>
  <c r="F45" s="1"/>
  <c r="F33"/>
  <c r="F44" s="1"/>
  <c r="F31"/>
  <c r="F43" s="1"/>
  <c r="F29"/>
  <c r="F42" s="1"/>
  <c r="F27"/>
  <c r="F41" s="1"/>
  <c r="F61" i="13"/>
  <c r="F44"/>
  <c r="AE5" i="10"/>
  <c r="AH52"/>
  <c r="F45" i="13"/>
  <c r="T72" i="10"/>
  <c r="B72" i="12"/>
  <c r="AP72" s="1"/>
  <c r="A93"/>
  <c r="AQ67" i="10"/>
  <c r="AQ54" i="12"/>
  <c r="BC54" s="1"/>
  <c r="BK54" s="1"/>
  <c r="AT54"/>
  <c r="BD54" s="1"/>
  <c r="BL54" s="1"/>
  <c r="AK54"/>
  <c r="BA54" s="1"/>
  <c r="BI54" s="1"/>
  <c r="AN54"/>
  <c r="BB54" s="1"/>
  <c r="BJ54" s="1"/>
  <c r="AE54"/>
  <c r="AY54" s="1"/>
  <c r="BG54" s="1"/>
  <c r="AH54"/>
  <c r="AZ54" s="1"/>
  <c r="BH54" s="1"/>
  <c r="AF54" i="10"/>
  <c r="AG54" s="1"/>
  <c r="AH54" s="1"/>
  <c r="AJ54" s="1"/>
  <c r="D6" i="12"/>
  <c r="AR5" i="10"/>
  <c r="Y71"/>
  <c r="Z55"/>
  <c r="AA55" s="1"/>
  <c r="AW55" i="12" s="1"/>
  <c r="BE55" s="1"/>
  <c r="BM55" s="1"/>
  <c r="O72" i="10"/>
  <c r="K72"/>
  <c r="J72"/>
  <c r="H72"/>
  <c r="G72"/>
  <c r="I72"/>
  <c r="D70"/>
  <c r="E70" s="1"/>
  <c r="C71"/>
  <c r="L72"/>
  <c r="N69"/>
  <c r="M69"/>
  <c r="X72"/>
  <c r="P68"/>
  <c r="Q68" s="1"/>
  <c r="B73"/>
  <c r="AS72" i="12" l="1"/>
  <c r="AG72"/>
  <c r="AV72"/>
  <c r="AD72"/>
  <c r="AM72"/>
  <c r="AJ72"/>
  <c r="AN68" i="10"/>
  <c r="AM68"/>
  <c r="V72"/>
  <c r="AS5"/>
  <c r="AT5" s="1"/>
  <c r="AU5"/>
  <c r="AV5" s="1"/>
  <c r="F65" i="13"/>
  <c r="F63"/>
  <c r="M7" i="12"/>
  <c r="U7" s="1"/>
  <c r="P7"/>
  <c r="X7" s="1"/>
  <c r="S7"/>
  <c r="AA7" s="1"/>
  <c r="Q7"/>
  <c r="Y7" s="1"/>
  <c r="N7"/>
  <c r="V7" s="1"/>
  <c r="R7"/>
  <c r="Z7" s="1"/>
  <c r="O7"/>
  <c r="W7" s="1"/>
  <c r="AL68"/>
  <c r="AO68"/>
  <c r="AU68"/>
  <c r="AR68"/>
  <c r="AI68"/>
  <c r="AF68"/>
  <c r="AC68"/>
  <c r="AO68" i="10"/>
  <c r="H56" i="12"/>
  <c r="G56"/>
  <c r="E56"/>
  <c r="J56"/>
  <c r="K56"/>
  <c r="F56"/>
  <c r="I56"/>
  <c r="AX5" i="10"/>
  <c r="AJ52"/>
  <c r="F47" i="13"/>
  <c r="T73" i="10"/>
  <c r="V73" s="1"/>
  <c r="B73" i="12"/>
  <c r="AP73" s="1"/>
  <c r="A94"/>
  <c r="AQ68" i="10"/>
  <c r="AQ55" i="12"/>
  <c r="BC55" s="1"/>
  <c r="BK55" s="1"/>
  <c r="AT55"/>
  <c r="BD55" s="1"/>
  <c r="BL55" s="1"/>
  <c r="AK55"/>
  <c r="BA55" s="1"/>
  <c r="BI55" s="1"/>
  <c r="AN55"/>
  <c r="BB55" s="1"/>
  <c r="BJ55" s="1"/>
  <c r="AE55"/>
  <c r="AY55" s="1"/>
  <c r="BG55" s="1"/>
  <c r="AH55"/>
  <c r="AZ55" s="1"/>
  <c r="BH55" s="1"/>
  <c r="AF55" i="10"/>
  <c r="AG55" s="1"/>
  <c r="AH55" s="1"/>
  <c r="AJ55" s="1"/>
  <c r="D7" i="12"/>
  <c r="Y72" i="10"/>
  <c r="Z56"/>
  <c r="AA56" s="1"/>
  <c r="AW56" i="12" s="1"/>
  <c r="BE56" s="1"/>
  <c r="BM56" s="1"/>
  <c r="O73" i="10"/>
  <c r="K73"/>
  <c r="J73"/>
  <c r="H73"/>
  <c r="G73"/>
  <c r="C72"/>
  <c r="D71"/>
  <c r="E71" s="1"/>
  <c r="I73"/>
  <c r="L73"/>
  <c r="N70"/>
  <c r="M70"/>
  <c r="X73"/>
  <c r="P69"/>
  <c r="Q69" s="1"/>
  <c r="B74"/>
  <c r="AJ73" i="12" l="1"/>
  <c r="AD73"/>
  <c r="AG73"/>
  <c r="AM73"/>
  <c r="AV73"/>
  <c r="AS73"/>
  <c r="AN69" i="10"/>
  <c r="AM69"/>
  <c r="M8" i="12"/>
  <c r="U8" s="1"/>
  <c r="S8"/>
  <c r="AA8" s="1"/>
  <c r="R8"/>
  <c r="Z8" s="1"/>
  <c r="P8"/>
  <c r="X8" s="1"/>
  <c r="O8"/>
  <c r="W8" s="1"/>
  <c r="Q8"/>
  <c r="Y8" s="1"/>
  <c r="N8"/>
  <c r="V8" s="1"/>
  <c r="AL69"/>
  <c r="AO69"/>
  <c r="AI69"/>
  <c r="AU69"/>
  <c r="AR69"/>
  <c r="AF69"/>
  <c r="AC69"/>
  <c r="AO69" i="10"/>
  <c r="H57" i="12"/>
  <c r="E57"/>
  <c r="K57"/>
  <c r="F57"/>
  <c r="G57"/>
  <c r="I57"/>
  <c r="J57"/>
  <c r="F52" i="13"/>
  <c r="T74" i="10"/>
  <c r="V74" s="1"/>
  <c r="B74" i="12"/>
  <c r="AP74" s="1"/>
  <c r="A95"/>
  <c r="AQ69" i="10"/>
  <c r="AQ56" i="12"/>
  <c r="BC56" s="1"/>
  <c r="BK56" s="1"/>
  <c r="AT56"/>
  <c r="BD56" s="1"/>
  <c r="BL56" s="1"/>
  <c r="AK56"/>
  <c r="BA56" s="1"/>
  <c r="BI56" s="1"/>
  <c r="AN56"/>
  <c r="BB56" s="1"/>
  <c r="BJ56" s="1"/>
  <c r="AE56"/>
  <c r="AY56" s="1"/>
  <c r="BG56" s="1"/>
  <c r="AH56"/>
  <c r="AZ56" s="1"/>
  <c r="BH56" s="1"/>
  <c r="AF56" i="10"/>
  <c r="AG56" s="1"/>
  <c r="AH56" s="1"/>
  <c r="AJ56" s="1"/>
  <c r="Y73"/>
  <c r="AR7"/>
  <c r="Z57"/>
  <c r="AA57" s="1"/>
  <c r="AW57" i="12" s="1"/>
  <c r="BE57" s="1"/>
  <c r="BM57" s="1"/>
  <c r="O74" i="10"/>
  <c r="K74"/>
  <c r="J74"/>
  <c r="H74"/>
  <c r="G74"/>
  <c r="D72"/>
  <c r="E72" s="1"/>
  <c r="C73"/>
  <c r="I74"/>
  <c r="L74"/>
  <c r="N71"/>
  <c r="M71"/>
  <c r="X74"/>
  <c r="P70"/>
  <c r="Q70" s="1"/>
  <c r="B75"/>
  <c r="AS74" i="12" l="1"/>
  <c r="AM74"/>
  <c r="AD74"/>
  <c r="AV74"/>
  <c r="AG74"/>
  <c r="AJ74"/>
  <c r="AM70" i="10"/>
  <c r="AN70"/>
  <c r="AU7"/>
  <c r="AV7" s="1"/>
  <c r="AS7"/>
  <c r="AT7" s="1"/>
  <c r="AL70" i="12"/>
  <c r="AO70"/>
  <c r="AI70"/>
  <c r="AU70"/>
  <c r="AR70"/>
  <c r="AF70"/>
  <c r="AC70"/>
  <c r="AO70" i="10"/>
  <c r="E58" i="12"/>
  <c r="I58"/>
  <c r="H58"/>
  <c r="F58"/>
  <c r="G58"/>
  <c r="J58"/>
  <c r="K58"/>
  <c r="T75" i="10"/>
  <c r="V75" s="1"/>
  <c r="B75" i="12"/>
  <c r="AP75" s="1"/>
  <c r="A96"/>
  <c r="AQ70" i="10"/>
  <c r="AQ57" i="12"/>
  <c r="BC57" s="1"/>
  <c r="BK57" s="1"/>
  <c r="AT57"/>
  <c r="BD57" s="1"/>
  <c r="BL57" s="1"/>
  <c r="AK57"/>
  <c r="BA57" s="1"/>
  <c r="BI57" s="1"/>
  <c r="AN57"/>
  <c r="BB57" s="1"/>
  <c r="BJ57" s="1"/>
  <c r="AE57"/>
  <c r="AY57" s="1"/>
  <c r="BG57" s="1"/>
  <c r="AH57"/>
  <c r="AZ57" s="1"/>
  <c r="BH57" s="1"/>
  <c r="AF57" i="10"/>
  <c r="AG57" s="1"/>
  <c r="AH57" s="1"/>
  <c r="AJ57" s="1"/>
  <c r="Y74"/>
  <c r="Z58"/>
  <c r="AA58" s="1"/>
  <c r="AW58" i="12" s="1"/>
  <c r="BE58" s="1"/>
  <c r="BM58" s="1"/>
  <c r="I75" i="10"/>
  <c r="O75"/>
  <c r="K75"/>
  <c r="J75"/>
  <c r="H75"/>
  <c r="G75"/>
  <c r="D73"/>
  <c r="E73" s="1"/>
  <c r="C74"/>
  <c r="L75"/>
  <c r="N72"/>
  <c r="M72"/>
  <c r="X75"/>
  <c r="P71"/>
  <c r="Q71" s="1"/>
  <c r="B76"/>
  <c r="AJ75" i="12" l="1"/>
  <c r="AV75"/>
  <c r="AM75"/>
  <c r="AG75"/>
  <c r="AD75"/>
  <c r="AS75"/>
  <c r="AM71" i="10"/>
  <c r="AN71"/>
  <c r="AL71" i="12"/>
  <c r="AO71"/>
  <c r="AU71"/>
  <c r="AR71"/>
  <c r="AI71"/>
  <c r="AF71"/>
  <c r="AC71"/>
  <c r="AO71" i="10"/>
  <c r="J59" i="12"/>
  <c r="H59"/>
  <c r="F59"/>
  <c r="K59"/>
  <c r="G59"/>
  <c r="I59"/>
  <c r="E59"/>
  <c r="B76"/>
  <c r="AP76" s="1"/>
  <c r="A97"/>
  <c r="AQ71" i="10"/>
  <c r="AQ58" i="12"/>
  <c r="BC58" s="1"/>
  <c r="BK58" s="1"/>
  <c r="AT58"/>
  <c r="BD58" s="1"/>
  <c r="BL58" s="1"/>
  <c r="AK58"/>
  <c r="BA58" s="1"/>
  <c r="BI58" s="1"/>
  <c r="AN58"/>
  <c r="BB58" s="1"/>
  <c r="BJ58" s="1"/>
  <c r="AE58"/>
  <c r="AY58" s="1"/>
  <c r="BG58" s="1"/>
  <c r="AH58"/>
  <c r="AZ58" s="1"/>
  <c r="BH58" s="1"/>
  <c r="AF58" i="10"/>
  <c r="AG58" s="1"/>
  <c r="AH58" s="1"/>
  <c r="AJ58" s="1"/>
  <c r="Y75"/>
  <c r="Z59"/>
  <c r="AA59" s="1"/>
  <c r="AW59" i="12" s="1"/>
  <c r="BE59" s="1"/>
  <c r="BM59" s="1"/>
  <c r="D74" i="10"/>
  <c r="E74" s="1"/>
  <c r="C75"/>
  <c r="I76"/>
  <c r="O76"/>
  <c r="K76"/>
  <c r="J76"/>
  <c r="H76"/>
  <c r="G76"/>
  <c r="L76"/>
  <c r="N73"/>
  <c r="M73"/>
  <c r="X76"/>
  <c r="P72"/>
  <c r="Q72" s="1"/>
  <c r="B77"/>
  <c r="AS76" i="12" l="1"/>
  <c r="AG76"/>
  <c r="AV76"/>
  <c r="AD76"/>
  <c r="AM76"/>
  <c r="AJ76"/>
  <c r="AM72" i="10"/>
  <c r="AN72"/>
  <c r="AL72" i="12"/>
  <c r="AO72"/>
  <c r="AU72"/>
  <c r="AR72"/>
  <c r="AI72"/>
  <c r="AF72"/>
  <c r="AC72"/>
  <c r="AO72" i="10"/>
  <c r="J60" i="12"/>
  <c r="G60"/>
  <c r="H60"/>
  <c r="E60"/>
  <c r="I60"/>
  <c r="F60"/>
  <c r="K60"/>
  <c r="H12" i="13"/>
  <c r="H33"/>
  <c r="H13"/>
  <c r="H16"/>
  <c r="H14"/>
  <c r="T76" i="10"/>
  <c r="H26" i="13"/>
  <c r="H17"/>
  <c r="H15"/>
  <c r="H20"/>
  <c r="B77" i="12"/>
  <c r="AP77" s="1"/>
  <c r="A98"/>
  <c r="AQ72" i="10"/>
  <c r="AQ59" i="12"/>
  <c r="BC59" s="1"/>
  <c r="BK59" s="1"/>
  <c r="AT59"/>
  <c r="BD59" s="1"/>
  <c r="BL59" s="1"/>
  <c r="AK59"/>
  <c r="BA59" s="1"/>
  <c r="BI59" s="1"/>
  <c r="AN59"/>
  <c r="BB59" s="1"/>
  <c r="BJ59" s="1"/>
  <c r="AE59"/>
  <c r="AY59" s="1"/>
  <c r="BG59" s="1"/>
  <c r="AH59"/>
  <c r="AZ59" s="1"/>
  <c r="BH59" s="1"/>
  <c r="AF59" i="10"/>
  <c r="AG59" s="1"/>
  <c r="AH59" s="1"/>
  <c r="AJ59" s="1"/>
  <c r="Y76"/>
  <c r="D8" i="12"/>
  <c r="L77" i="10"/>
  <c r="Z60"/>
  <c r="AA60" s="1"/>
  <c r="AW60" i="12" s="1"/>
  <c r="BE60" s="1"/>
  <c r="BM60" s="1"/>
  <c r="O77" i="10"/>
  <c r="K77"/>
  <c r="J77"/>
  <c r="H77"/>
  <c r="G77"/>
  <c r="I77"/>
  <c r="D75"/>
  <c r="E75" s="1"/>
  <c r="C76"/>
  <c r="N74"/>
  <c r="M74"/>
  <c r="X77"/>
  <c r="P73"/>
  <c r="Q73" s="1"/>
  <c r="B78"/>
  <c r="AJ77" i="12" l="1"/>
  <c r="AD77"/>
  <c r="AG77"/>
  <c r="AM77"/>
  <c r="AV77"/>
  <c r="AS77"/>
  <c r="AN73" i="10"/>
  <c r="AM73"/>
  <c r="Q9" i="12"/>
  <c r="Y9" s="1"/>
  <c r="N9"/>
  <c r="V9" s="1"/>
  <c r="M9"/>
  <c r="U9" s="1"/>
  <c r="O9"/>
  <c r="W9" s="1"/>
  <c r="S9"/>
  <c r="AA9" s="1"/>
  <c r="R9"/>
  <c r="Z9" s="1"/>
  <c r="P9"/>
  <c r="X9" s="1"/>
  <c r="AL73"/>
  <c r="AO73"/>
  <c r="AI73"/>
  <c r="AU73"/>
  <c r="AR73"/>
  <c r="AF73"/>
  <c r="AC73"/>
  <c r="AO73" i="10"/>
  <c r="J61" i="12"/>
  <c r="I61"/>
  <c r="E61"/>
  <c r="F61"/>
  <c r="H61"/>
  <c r="G61"/>
  <c r="K61"/>
  <c r="T77" i="10"/>
  <c r="V76"/>
  <c r="H27" i="13"/>
  <c r="H28" s="1"/>
  <c r="H6"/>
  <c r="H34"/>
  <c r="T78" i="10"/>
  <c r="B78" i="12"/>
  <c r="AP78" s="1"/>
  <c r="A99"/>
  <c r="AQ73" i="10"/>
  <c r="AQ60" i="12"/>
  <c r="BC60" s="1"/>
  <c r="BK60" s="1"/>
  <c r="AT60"/>
  <c r="BD60" s="1"/>
  <c r="BL60" s="1"/>
  <c r="AK60"/>
  <c r="BA60" s="1"/>
  <c r="BI60" s="1"/>
  <c r="AN60"/>
  <c r="BB60" s="1"/>
  <c r="BJ60" s="1"/>
  <c r="AE60"/>
  <c r="AY60" s="1"/>
  <c r="BG60" s="1"/>
  <c r="AH60"/>
  <c r="AZ60" s="1"/>
  <c r="BH60" s="1"/>
  <c r="AF60" i="10"/>
  <c r="AG60" s="1"/>
  <c r="AH60" s="1"/>
  <c r="AJ60" s="1"/>
  <c r="Y77"/>
  <c r="Z61"/>
  <c r="AA61" s="1"/>
  <c r="AW61" i="12" s="1"/>
  <c r="BE61" s="1"/>
  <c r="BM61" s="1"/>
  <c r="K78" i="10"/>
  <c r="J78"/>
  <c r="H78"/>
  <c r="G78"/>
  <c r="L78"/>
  <c r="D76"/>
  <c r="C77"/>
  <c r="I78"/>
  <c r="N75"/>
  <c r="M75"/>
  <c r="X78"/>
  <c r="P74"/>
  <c r="Q74" s="1"/>
  <c r="B79"/>
  <c r="AS78" i="12" l="1"/>
  <c r="AM78"/>
  <c r="AD78"/>
  <c r="AV78"/>
  <c r="AG78"/>
  <c r="AJ78"/>
  <c r="AM74" i="10"/>
  <c r="AN74"/>
  <c r="AL74" i="12"/>
  <c r="AO74"/>
  <c r="AI74"/>
  <c r="AU74"/>
  <c r="AR74"/>
  <c r="AF74"/>
  <c r="AC74"/>
  <c r="AO74" i="10"/>
  <c r="H62" i="12"/>
  <c r="F62"/>
  <c r="G62"/>
  <c r="K62"/>
  <c r="J62"/>
  <c r="I62"/>
  <c r="E62"/>
  <c r="E76" i="10"/>
  <c r="H7" i="13"/>
  <c r="H9" s="1"/>
  <c r="V77" i="10"/>
  <c r="V78" s="1"/>
  <c r="H30" i="13"/>
  <c r="T79" i="10"/>
  <c r="B79" i="12"/>
  <c r="AP79" s="1"/>
  <c r="J2" i="13"/>
  <c r="J2" i="14" s="1"/>
  <c r="A100" i="12"/>
  <c r="AQ74" i="10"/>
  <c r="AQ61" i="12"/>
  <c r="BC61" s="1"/>
  <c r="BK61" s="1"/>
  <c r="AT61"/>
  <c r="BD61" s="1"/>
  <c r="BL61" s="1"/>
  <c r="AK61"/>
  <c r="BA61" s="1"/>
  <c r="BI61" s="1"/>
  <c r="AN61"/>
  <c r="BB61" s="1"/>
  <c r="BJ61" s="1"/>
  <c r="AE61"/>
  <c r="AY61" s="1"/>
  <c r="BG61" s="1"/>
  <c r="AH61"/>
  <c r="AZ61" s="1"/>
  <c r="BH61" s="1"/>
  <c r="AF61" i="10"/>
  <c r="AG61" s="1"/>
  <c r="AH61" s="1"/>
  <c r="AJ61" s="1"/>
  <c r="Y78"/>
  <c r="Z62"/>
  <c r="AA62" s="1"/>
  <c r="AW62" i="12" s="1"/>
  <c r="BE62" s="1"/>
  <c r="BM62" s="1"/>
  <c r="O79" i="10"/>
  <c r="K79"/>
  <c r="J79"/>
  <c r="H79"/>
  <c r="G79"/>
  <c r="I79"/>
  <c r="C78"/>
  <c r="D77"/>
  <c r="L79"/>
  <c r="N76"/>
  <c r="M76"/>
  <c r="X79"/>
  <c r="P75"/>
  <c r="Q75" s="1"/>
  <c r="B80"/>
  <c r="AJ79" i="12" l="1"/>
  <c r="AV79"/>
  <c r="AM79"/>
  <c r="AG79"/>
  <c r="AD79"/>
  <c r="AS79"/>
  <c r="AM75" i="10"/>
  <c r="AN75"/>
  <c r="AL75" i="12"/>
  <c r="AO75"/>
  <c r="AU75"/>
  <c r="AR75"/>
  <c r="AI75"/>
  <c r="AF75"/>
  <c r="AC75"/>
  <c r="AO75" i="10"/>
  <c r="V79"/>
  <c r="E63" i="12"/>
  <c r="I63"/>
  <c r="K63"/>
  <c r="H63"/>
  <c r="G63"/>
  <c r="J63"/>
  <c r="F63"/>
  <c r="H18" i="13"/>
  <c r="H19"/>
  <c r="E77" i="10"/>
  <c r="N77" s="1"/>
  <c r="T80"/>
  <c r="B80" i="12"/>
  <c r="AP80" s="1"/>
  <c r="A101"/>
  <c r="AQ75" i="10"/>
  <c r="AQ62" i="12"/>
  <c r="BC62" s="1"/>
  <c r="BK62" s="1"/>
  <c r="AT62"/>
  <c r="BD62" s="1"/>
  <c r="BL62" s="1"/>
  <c r="AK62"/>
  <c r="BA62" s="1"/>
  <c r="BI62" s="1"/>
  <c r="AN62"/>
  <c r="BB62" s="1"/>
  <c r="BJ62" s="1"/>
  <c r="AE62"/>
  <c r="AY62" s="1"/>
  <c r="BG62" s="1"/>
  <c r="AH62"/>
  <c r="AZ62" s="1"/>
  <c r="BH62" s="1"/>
  <c r="AF62" i="10"/>
  <c r="AG62" s="1"/>
  <c r="AH62" s="1"/>
  <c r="AJ62" s="1"/>
  <c r="Y79"/>
  <c r="D9" i="12"/>
  <c r="Z63" i="10"/>
  <c r="AA63" s="1"/>
  <c r="AW63" i="12" s="1"/>
  <c r="BE63" s="1"/>
  <c r="BM63" s="1"/>
  <c r="I80" i="10"/>
  <c r="K80"/>
  <c r="J80"/>
  <c r="H80"/>
  <c r="G80"/>
  <c r="D78"/>
  <c r="E78" s="1"/>
  <c r="O78" s="1"/>
  <c r="C79"/>
  <c r="L80"/>
  <c r="M77"/>
  <c r="X80"/>
  <c r="P76"/>
  <c r="Q76" s="1"/>
  <c r="B81"/>
  <c r="AS80" i="12" l="1"/>
  <c r="AG80"/>
  <c r="AV80"/>
  <c r="AD80"/>
  <c r="AM80"/>
  <c r="AJ80"/>
  <c r="AN76" i="10"/>
  <c r="AM76"/>
  <c r="V80"/>
  <c r="Q10" i="12"/>
  <c r="Y10" s="1"/>
  <c r="R10"/>
  <c r="Z10" s="1"/>
  <c r="O10"/>
  <c r="W10" s="1"/>
  <c r="S10"/>
  <c r="AA10" s="1"/>
  <c r="N10"/>
  <c r="V10" s="1"/>
  <c r="M10"/>
  <c r="U10" s="1"/>
  <c r="P10"/>
  <c r="X10" s="1"/>
  <c r="AL76"/>
  <c r="H32" i="14" s="1"/>
  <c r="AO76" i="12"/>
  <c r="AU76"/>
  <c r="H38" i="14" s="1"/>
  <c r="AR76" i="12"/>
  <c r="H36" i="14" s="1"/>
  <c r="AI76" i="12"/>
  <c r="H30" i="14" s="1"/>
  <c r="AF76" i="12"/>
  <c r="H28" i="14" s="1"/>
  <c r="AC76" i="12"/>
  <c r="H26" i="14" s="1"/>
  <c r="AO76" i="10"/>
  <c r="I64" i="12"/>
  <c r="E64"/>
  <c r="K64"/>
  <c r="J64"/>
  <c r="F64"/>
  <c r="G64"/>
  <c r="H64"/>
  <c r="H21" i="13"/>
  <c r="H23" s="1"/>
  <c r="T81" i="10"/>
  <c r="V81" s="1"/>
  <c r="B81" i="12"/>
  <c r="AP81" s="1"/>
  <c r="A102"/>
  <c r="H34" i="14"/>
  <c r="AQ76" i="10"/>
  <c r="AQ63" i="12"/>
  <c r="BC63" s="1"/>
  <c r="BK63" s="1"/>
  <c r="AT63"/>
  <c r="BD63" s="1"/>
  <c r="BL63" s="1"/>
  <c r="AK63"/>
  <c r="BA63" s="1"/>
  <c r="BI63" s="1"/>
  <c r="AN63"/>
  <c r="BB63" s="1"/>
  <c r="BJ63" s="1"/>
  <c r="AE63"/>
  <c r="AY63" s="1"/>
  <c r="BG63" s="1"/>
  <c r="AH63"/>
  <c r="AZ63" s="1"/>
  <c r="BH63" s="1"/>
  <c r="AF63" i="10"/>
  <c r="AG63" s="1"/>
  <c r="AH63" s="1"/>
  <c r="AJ63" s="1"/>
  <c r="Y80"/>
  <c r="Z64"/>
  <c r="L81"/>
  <c r="I81"/>
  <c r="O81"/>
  <c r="K81"/>
  <c r="J81"/>
  <c r="H81"/>
  <c r="G81"/>
  <c r="D79"/>
  <c r="E79" s="1"/>
  <c r="C80"/>
  <c r="N78"/>
  <c r="M78"/>
  <c r="X81"/>
  <c r="P77"/>
  <c r="Q77" s="1"/>
  <c r="B82"/>
  <c r="AJ81" i="12" l="1"/>
  <c r="AD81"/>
  <c r="AG81"/>
  <c r="AM81"/>
  <c r="AV81"/>
  <c r="AS81"/>
  <c r="AN77" i="10"/>
  <c r="AM77"/>
  <c r="H57" i="13"/>
  <c r="H56"/>
  <c r="H55"/>
  <c r="AL77" i="12"/>
  <c r="AO77"/>
  <c r="AI77"/>
  <c r="AU77"/>
  <c r="AR77"/>
  <c r="AF77"/>
  <c r="AC77"/>
  <c r="AO77" i="10"/>
  <c r="H65" i="12"/>
  <c r="F65"/>
  <c r="E65"/>
  <c r="K65"/>
  <c r="G65"/>
  <c r="J65"/>
  <c r="I65"/>
  <c r="G13" i="14"/>
  <c r="G21" s="1"/>
  <c r="G11"/>
  <c r="G19" s="1"/>
  <c r="G9"/>
  <c r="G17" s="1"/>
  <c r="G14"/>
  <c r="G22" s="1"/>
  <c r="G12"/>
  <c r="G20" s="1"/>
  <c r="G10"/>
  <c r="G18" s="1"/>
  <c r="G8"/>
  <c r="G16" s="1"/>
  <c r="H60" i="13"/>
  <c r="H6" i="14" s="1"/>
  <c r="AA64" i="10"/>
  <c r="G35" i="13"/>
  <c r="T82" i="10"/>
  <c r="V82" s="1"/>
  <c r="B82" i="12"/>
  <c r="AP82" s="1"/>
  <c r="A103"/>
  <c r="AQ77" i="10"/>
  <c r="Y81"/>
  <c r="Z65"/>
  <c r="AA65" s="1"/>
  <c r="AW65" i="12" s="1"/>
  <c r="BE65" s="1"/>
  <c r="BM65" s="1"/>
  <c r="L82" i="10"/>
  <c r="O82"/>
  <c r="K82"/>
  <c r="J82"/>
  <c r="H82"/>
  <c r="G82"/>
  <c r="D80"/>
  <c r="E80" s="1"/>
  <c r="C81"/>
  <c r="I82"/>
  <c r="N79"/>
  <c r="M79"/>
  <c r="X82"/>
  <c r="P78"/>
  <c r="Q78" s="1"/>
  <c r="B83"/>
  <c r="AS82" i="12" l="1"/>
  <c r="AM82"/>
  <c r="AD82"/>
  <c r="AV82"/>
  <c r="AG82"/>
  <c r="AJ82"/>
  <c r="AM78" i="10"/>
  <c r="AN78"/>
  <c r="AL78" i="12"/>
  <c r="AO78"/>
  <c r="AI78"/>
  <c r="AU78"/>
  <c r="AR78"/>
  <c r="AF78"/>
  <c r="AC78"/>
  <c r="AO78" i="10"/>
  <c r="E66" i="12"/>
  <c r="G66"/>
  <c r="H66"/>
  <c r="F66"/>
  <c r="J66"/>
  <c r="K66"/>
  <c r="I66"/>
  <c r="AW64"/>
  <c r="BE64" s="1"/>
  <c r="BM64" s="1"/>
  <c r="AF64" i="10"/>
  <c r="AG64" s="1"/>
  <c r="AK64" i="12"/>
  <c r="BA64" s="1"/>
  <c r="BI64" s="1"/>
  <c r="AE64"/>
  <c r="AY64" s="1"/>
  <c r="BG64" s="1"/>
  <c r="AQ64"/>
  <c r="BC64" s="1"/>
  <c r="BK64" s="1"/>
  <c r="AH64"/>
  <c r="AZ64" s="1"/>
  <c r="BH64" s="1"/>
  <c r="AN64"/>
  <c r="BB64" s="1"/>
  <c r="BJ64" s="1"/>
  <c r="AT64"/>
  <c r="BD64" s="1"/>
  <c r="BL64" s="1"/>
  <c r="G36" i="13"/>
  <c r="G39" i="14" s="1"/>
  <c r="G47" s="1"/>
  <c r="H62" i="13"/>
  <c r="T83" i="10"/>
  <c r="V83" s="1"/>
  <c r="B83" i="12"/>
  <c r="AP83" s="1"/>
  <c r="A104"/>
  <c r="AQ78" i="10"/>
  <c r="AQ65" i="12"/>
  <c r="BC65" s="1"/>
  <c r="BK65" s="1"/>
  <c r="AT65"/>
  <c r="BD65" s="1"/>
  <c r="BL65" s="1"/>
  <c r="AK65"/>
  <c r="BA65" s="1"/>
  <c r="BI65" s="1"/>
  <c r="AN65"/>
  <c r="BB65" s="1"/>
  <c r="BJ65" s="1"/>
  <c r="AE65"/>
  <c r="AY65" s="1"/>
  <c r="BG65" s="1"/>
  <c r="AH65"/>
  <c r="AZ65" s="1"/>
  <c r="BH65" s="1"/>
  <c r="AF65" i="10"/>
  <c r="AG65" s="1"/>
  <c r="AH65" s="1"/>
  <c r="AJ65" s="1"/>
  <c r="Y82"/>
  <c r="Z66"/>
  <c r="AA66" s="1"/>
  <c r="AW66" i="12" s="1"/>
  <c r="BE66" s="1"/>
  <c r="BM66" s="1"/>
  <c r="D81" i="10"/>
  <c r="E81" s="1"/>
  <c r="C82"/>
  <c r="L83"/>
  <c r="O83"/>
  <c r="K83"/>
  <c r="J83"/>
  <c r="H83"/>
  <c r="G83"/>
  <c r="I83"/>
  <c r="O80"/>
  <c r="N80"/>
  <c r="M80"/>
  <c r="X83"/>
  <c r="P79"/>
  <c r="Q79" s="1"/>
  <c r="B84"/>
  <c r="AJ83" i="12" l="1"/>
  <c r="AV83"/>
  <c r="AM83"/>
  <c r="AG83"/>
  <c r="AD83"/>
  <c r="AS83"/>
  <c r="AN79" i="10"/>
  <c r="AM79"/>
  <c r="AL79" i="12"/>
  <c r="AO79"/>
  <c r="AU79"/>
  <c r="AR79"/>
  <c r="AI79"/>
  <c r="AF79"/>
  <c r="AC79"/>
  <c r="AO79" i="10"/>
  <c r="H67" i="12"/>
  <c r="I67"/>
  <c r="K67"/>
  <c r="G67"/>
  <c r="E67"/>
  <c r="J67"/>
  <c r="F67"/>
  <c r="G37" i="14"/>
  <c r="G46" s="1"/>
  <c r="G35"/>
  <c r="G45" s="1"/>
  <c r="G33"/>
  <c r="G44" s="1"/>
  <c r="G31"/>
  <c r="G43" s="1"/>
  <c r="G29"/>
  <c r="G42" s="1"/>
  <c r="G27"/>
  <c r="G41" s="1"/>
  <c r="G44" i="13"/>
  <c r="G61"/>
  <c r="AH64" i="10"/>
  <c r="G45" i="13"/>
  <c r="T84" i="10"/>
  <c r="V84" s="1"/>
  <c r="B84" i="12"/>
  <c r="AP84" s="1"/>
  <c r="A105"/>
  <c r="AQ79" i="10"/>
  <c r="AQ66" i="12"/>
  <c r="BC66" s="1"/>
  <c r="BK66" s="1"/>
  <c r="AT66"/>
  <c r="BD66" s="1"/>
  <c r="BL66" s="1"/>
  <c r="AK66"/>
  <c r="BA66" s="1"/>
  <c r="BI66" s="1"/>
  <c r="AN66"/>
  <c r="BB66" s="1"/>
  <c r="BJ66" s="1"/>
  <c r="AE66"/>
  <c r="AY66" s="1"/>
  <c r="BG66" s="1"/>
  <c r="AH66"/>
  <c r="AZ66" s="1"/>
  <c r="BH66" s="1"/>
  <c r="AF66" i="10"/>
  <c r="AG66" s="1"/>
  <c r="AH66" s="1"/>
  <c r="AJ66" s="1"/>
  <c r="Y83"/>
  <c r="D10" i="12"/>
  <c r="Z67" i="10"/>
  <c r="AA67" s="1"/>
  <c r="AW67" i="12" s="1"/>
  <c r="BE67" s="1"/>
  <c r="BM67" s="1"/>
  <c r="O84" i="10"/>
  <c r="K84"/>
  <c r="J84"/>
  <c r="H84"/>
  <c r="G84"/>
  <c r="L84"/>
  <c r="D82"/>
  <c r="E82" s="1"/>
  <c r="C83"/>
  <c r="I84"/>
  <c r="N81"/>
  <c r="M81"/>
  <c r="X84"/>
  <c r="P80"/>
  <c r="Q80" s="1"/>
  <c r="B85"/>
  <c r="AS84" i="12" l="1"/>
  <c r="AG84"/>
  <c r="AV84"/>
  <c r="AD84"/>
  <c r="AM84"/>
  <c r="AJ84"/>
  <c r="AN80" i="10"/>
  <c r="AM80"/>
  <c r="G63" i="13"/>
  <c r="G65"/>
  <c r="R11" i="12"/>
  <c r="Z11" s="1"/>
  <c r="Q11"/>
  <c r="Y11" s="1"/>
  <c r="N11"/>
  <c r="V11" s="1"/>
  <c r="O11"/>
  <c r="W11" s="1"/>
  <c r="S11"/>
  <c r="AA11" s="1"/>
  <c r="P11"/>
  <c r="X11" s="1"/>
  <c r="M11"/>
  <c r="U11" s="1"/>
  <c r="AL80"/>
  <c r="AO80"/>
  <c r="AU80"/>
  <c r="AR80"/>
  <c r="AI80"/>
  <c r="AF80"/>
  <c r="AC80"/>
  <c r="AO80" i="10"/>
  <c r="J68" i="12"/>
  <c r="F68"/>
  <c r="H68"/>
  <c r="K68"/>
  <c r="I68"/>
  <c r="G68"/>
  <c r="E68"/>
  <c r="AJ64" i="10"/>
  <c r="G47" i="13"/>
  <c r="AX85" i="10"/>
  <c r="T85"/>
  <c r="V85" s="1"/>
  <c r="B85" i="12"/>
  <c r="AP85" s="1"/>
  <c r="A106"/>
  <c r="AQ80" i="10"/>
  <c r="AQ67" i="12"/>
  <c r="BC67" s="1"/>
  <c r="BK67" s="1"/>
  <c r="AT67"/>
  <c r="BD67" s="1"/>
  <c r="BL67" s="1"/>
  <c r="AK67"/>
  <c r="BA67" s="1"/>
  <c r="BI67" s="1"/>
  <c r="AN67"/>
  <c r="BB67" s="1"/>
  <c r="BJ67" s="1"/>
  <c r="AE67"/>
  <c r="AY67" s="1"/>
  <c r="BG67" s="1"/>
  <c r="AH67"/>
  <c r="AZ67" s="1"/>
  <c r="BH67" s="1"/>
  <c r="AF67" i="10"/>
  <c r="AG67" s="1"/>
  <c r="AH67" s="1"/>
  <c r="AJ67" s="1"/>
  <c r="Y84"/>
  <c r="Z68"/>
  <c r="AA68" s="1"/>
  <c r="AW68" i="12" s="1"/>
  <c r="BE68" s="1"/>
  <c r="BM68" s="1"/>
  <c r="I85" i="10"/>
  <c r="O85"/>
  <c r="K85"/>
  <c r="J85"/>
  <c r="H85"/>
  <c r="G85"/>
  <c r="D83"/>
  <c r="E83" s="1"/>
  <c r="C84"/>
  <c r="L85"/>
  <c r="N82"/>
  <c r="M82"/>
  <c r="X85"/>
  <c r="P81"/>
  <c r="Q81" s="1"/>
  <c r="B86"/>
  <c r="AJ85" i="12" l="1"/>
  <c r="AD85"/>
  <c r="AG85"/>
  <c r="AM85"/>
  <c r="AV85"/>
  <c r="AS85"/>
  <c r="AM81" i="10"/>
  <c r="AN81"/>
  <c r="AL81" i="12"/>
  <c r="AO81"/>
  <c r="AI81"/>
  <c r="AU81"/>
  <c r="AR81"/>
  <c r="AF81"/>
  <c r="AC81"/>
  <c r="AO81" i="10"/>
  <c r="E69" i="12"/>
  <c r="K69"/>
  <c r="I69"/>
  <c r="H69"/>
  <c r="F69"/>
  <c r="J69"/>
  <c r="G69"/>
  <c r="G52" i="13"/>
  <c r="AX86" i="10"/>
  <c r="T86"/>
  <c r="V86" s="1"/>
  <c r="B86" i="12"/>
  <c r="AP86" s="1"/>
  <c r="A107"/>
  <c r="AQ81" i="10"/>
  <c r="AQ68" i="12"/>
  <c r="BC68" s="1"/>
  <c r="BK68" s="1"/>
  <c r="AT68"/>
  <c r="BD68" s="1"/>
  <c r="BL68" s="1"/>
  <c r="AK68"/>
  <c r="BA68" s="1"/>
  <c r="BI68" s="1"/>
  <c r="AN68"/>
  <c r="BB68" s="1"/>
  <c r="BJ68" s="1"/>
  <c r="AE68"/>
  <c r="AY68" s="1"/>
  <c r="BG68" s="1"/>
  <c r="AH68"/>
  <c r="AZ68" s="1"/>
  <c r="BH68" s="1"/>
  <c r="AF68" i="10"/>
  <c r="AG68" s="1"/>
  <c r="AH68" s="1"/>
  <c r="AJ68" s="1"/>
  <c r="Y85"/>
  <c r="Z69"/>
  <c r="AA69" s="1"/>
  <c r="AW69" i="12" s="1"/>
  <c r="BE69" s="1"/>
  <c r="BM69" s="1"/>
  <c r="O86" i="10"/>
  <c r="K86"/>
  <c r="J86"/>
  <c r="H86"/>
  <c r="G86"/>
  <c r="D84"/>
  <c r="E84" s="1"/>
  <c r="C85"/>
  <c r="I86"/>
  <c r="L86"/>
  <c r="N83"/>
  <c r="M83"/>
  <c r="X86"/>
  <c r="P82"/>
  <c r="Q82" s="1"/>
  <c r="B87"/>
  <c r="AS86" i="12" l="1"/>
  <c r="AM86"/>
  <c r="AD86"/>
  <c r="AV86"/>
  <c r="AG86"/>
  <c r="AJ86"/>
  <c r="AN82" i="10"/>
  <c r="AM82"/>
  <c r="AL82" i="12"/>
  <c r="AO82"/>
  <c r="AI82"/>
  <c r="AU82"/>
  <c r="AR82"/>
  <c r="AF82"/>
  <c r="AC82"/>
  <c r="AO82" i="10"/>
  <c r="H70" i="12"/>
  <c r="I70"/>
  <c r="E70"/>
  <c r="K70"/>
  <c r="F70"/>
  <c r="G70"/>
  <c r="J70"/>
  <c r="AX87" i="10"/>
  <c r="T87"/>
  <c r="V87" s="1"/>
  <c r="B87" i="12"/>
  <c r="AP87" s="1"/>
  <c r="A108"/>
  <c r="AQ82" i="10"/>
  <c r="AQ69" i="12"/>
  <c r="BC69" s="1"/>
  <c r="BK69" s="1"/>
  <c r="AT69"/>
  <c r="BD69" s="1"/>
  <c r="BL69" s="1"/>
  <c r="AK69"/>
  <c r="BA69" s="1"/>
  <c r="BI69" s="1"/>
  <c r="AN69"/>
  <c r="BB69" s="1"/>
  <c r="BJ69" s="1"/>
  <c r="AE69"/>
  <c r="AY69" s="1"/>
  <c r="BG69" s="1"/>
  <c r="AH69"/>
  <c r="AZ69" s="1"/>
  <c r="BH69" s="1"/>
  <c r="AF69" i="10"/>
  <c r="AG69" s="1"/>
  <c r="AH69" s="1"/>
  <c r="AJ69" s="1"/>
  <c r="Y86"/>
  <c r="Z70"/>
  <c r="AA70" s="1"/>
  <c r="AW70" i="12" s="1"/>
  <c r="BE70" s="1"/>
  <c r="BM70" s="1"/>
  <c r="O87" i="10"/>
  <c r="K87"/>
  <c r="J87"/>
  <c r="H87"/>
  <c r="G87"/>
  <c r="I87"/>
  <c r="D85"/>
  <c r="E85" s="1"/>
  <c r="C86"/>
  <c r="L87"/>
  <c r="N84"/>
  <c r="M84"/>
  <c r="X87"/>
  <c r="P83"/>
  <c r="Q83" s="1"/>
  <c r="B88"/>
  <c r="AJ87" i="12" l="1"/>
  <c r="AV87"/>
  <c r="AM87"/>
  <c r="AG87"/>
  <c r="AD87"/>
  <c r="AS87"/>
  <c r="AN83" i="10"/>
  <c r="AM83"/>
  <c r="AL83" i="12"/>
  <c r="AO83"/>
  <c r="AU83"/>
  <c r="AR83"/>
  <c r="AI83"/>
  <c r="AF83"/>
  <c r="AC83"/>
  <c r="AO83" i="10"/>
  <c r="F71" i="12"/>
  <c r="I71"/>
  <c r="G71"/>
  <c r="E71"/>
  <c r="H71"/>
  <c r="K71"/>
  <c r="J71"/>
  <c r="AX88" i="10"/>
  <c r="B88" i="12"/>
  <c r="AP88" s="1"/>
  <c r="A109"/>
  <c r="AQ83" i="10"/>
  <c r="AQ70" i="12"/>
  <c r="BC70" s="1"/>
  <c r="BK70" s="1"/>
  <c r="AT70"/>
  <c r="BD70" s="1"/>
  <c r="BL70" s="1"/>
  <c r="AK70"/>
  <c r="BA70" s="1"/>
  <c r="BI70" s="1"/>
  <c r="AN70"/>
  <c r="BB70" s="1"/>
  <c r="BJ70" s="1"/>
  <c r="AE70"/>
  <c r="AY70" s="1"/>
  <c r="BG70" s="1"/>
  <c r="AH70"/>
  <c r="AZ70" s="1"/>
  <c r="BH70" s="1"/>
  <c r="AF70" i="10"/>
  <c r="AG70" s="1"/>
  <c r="AH70" s="1"/>
  <c r="AJ70" s="1"/>
  <c r="Y87"/>
  <c r="Z71"/>
  <c r="AA71" s="1"/>
  <c r="AW71" i="12" s="1"/>
  <c r="BE71" s="1"/>
  <c r="BM71" s="1"/>
  <c r="O88" i="10"/>
  <c r="K88"/>
  <c r="J88"/>
  <c r="H88"/>
  <c r="G88"/>
  <c r="D86"/>
  <c r="E86" s="1"/>
  <c r="C87"/>
  <c r="I88"/>
  <c r="L88"/>
  <c r="N85"/>
  <c r="M85"/>
  <c r="X88"/>
  <c r="P84"/>
  <c r="Q84" s="1"/>
  <c r="B89"/>
  <c r="AS88" i="12" l="1"/>
  <c r="AG88"/>
  <c r="AV88"/>
  <c r="AD88"/>
  <c r="AM88"/>
  <c r="AJ88"/>
  <c r="AN84" i="10"/>
  <c r="AM84"/>
  <c r="AL84" i="12"/>
  <c r="AO84"/>
  <c r="AU84"/>
  <c r="AR84"/>
  <c r="AI84"/>
  <c r="AF84"/>
  <c r="AC84"/>
  <c r="AO84" i="10"/>
  <c r="E72" i="12"/>
  <c r="J72"/>
  <c r="F72"/>
  <c r="I72"/>
  <c r="H72"/>
  <c r="G72"/>
  <c r="K72"/>
  <c r="I13" i="13"/>
  <c r="I16"/>
  <c r="I33"/>
  <c r="I14"/>
  <c r="I12"/>
  <c r="I15"/>
  <c r="I20"/>
  <c r="I17"/>
  <c r="T88" i="10"/>
  <c r="I26" i="13"/>
  <c r="B89" i="12"/>
  <c r="AP89" s="1"/>
  <c r="A110"/>
  <c r="AQ84" i="10"/>
  <c r="AQ71" i="12"/>
  <c r="BC71" s="1"/>
  <c r="BK71" s="1"/>
  <c r="AT71"/>
  <c r="BD71" s="1"/>
  <c r="BL71" s="1"/>
  <c r="AK71"/>
  <c r="BA71" s="1"/>
  <c r="BI71" s="1"/>
  <c r="AN71"/>
  <c r="BB71" s="1"/>
  <c r="BJ71" s="1"/>
  <c r="AE71"/>
  <c r="AY71" s="1"/>
  <c r="BG71" s="1"/>
  <c r="AH71"/>
  <c r="AZ71" s="1"/>
  <c r="BH71" s="1"/>
  <c r="AF71" i="10"/>
  <c r="AG71" s="1"/>
  <c r="AH71" s="1"/>
  <c r="AJ71" s="1"/>
  <c r="Y88"/>
  <c r="D11" i="12"/>
  <c r="Z72" i="10"/>
  <c r="AA72" s="1"/>
  <c r="AW72" i="12" s="1"/>
  <c r="BE72" s="1"/>
  <c r="BM72" s="1"/>
  <c r="O89" i="10"/>
  <c r="K89"/>
  <c r="J89"/>
  <c r="H89"/>
  <c r="G89"/>
  <c r="L89"/>
  <c r="I89"/>
  <c r="C88"/>
  <c r="D87"/>
  <c r="E87" s="1"/>
  <c r="N86"/>
  <c r="M86"/>
  <c r="X89"/>
  <c r="P85"/>
  <c r="Q85" s="1"/>
  <c r="B90"/>
  <c r="AJ89" i="12" l="1"/>
  <c r="AD89"/>
  <c r="AG89"/>
  <c r="AM89"/>
  <c r="AV89"/>
  <c r="AS89"/>
  <c r="AM85" i="10"/>
  <c r="AN85"/>
  <c r="R12" i="12"/>
  <c r="Z12" s="1"/>
  <c r="P12"/>
  <c r="X12" s="1"/>
  <c r="Q12"/>
  <c r="Y12" s="1"/>
  <c r="S12"/>
  <c r="AA12" s="1"/>
  <c r="M12"/>
  <c r="U12" s="1"/>
  <c r="O12"/>
  <c r="W12" s="1"/>
  <c r="N12"/>
  <c r="V12" s="1"/>
  <c r="AL85"/>
  <c r="AO85"/>
  <c r="AI85"/>
  <c r="AU85"/>
  <c r="AR85"/>
  <c r="AF85"/>
  <c r="AC85"/>
  <c r="AO85" i="10"/>
  <c r="H73" i="12"/>
  <c r="G73"/>
  <c r="J73"/>
  <c r="K73"/>
  <c r="I73"/>
  <c r="E73"/>
  <c r="F73"/>
  <c r="I6" i="13"/>
  <c r="I34"/>
  <c r="V88" i="10"/>
  <c r="I27" i="13"/>
  <c r="I28" s="1"/>
  <c r="T89" i="10"/>
  <c r="AX90"/>
  <c r="T90"/>
  <c r="B90" i="12"/>
  <c r="AP90" s="1"/>
  <c r="A111"/>
  <c r="AQ85" i="10"/>
  <c r="AQ72" i="12"/>
  <c r="BC72" s="1"/>
  <c r="BK72" s="1"/>
  <c r="AT72"/>
  <c r="BD72" s="1"/>
  <c r="BL72" s="1"/>
  <c r="AK72"/>
  <c r="BA72" s="1"/>
  <c r="BI72" s="1"/>
  <c r="AN72"/>
  <c r="BB72" s="1"/>
  <c r="BJ72" s="1"/>
  <c r="AE72"/>
  <c r="AY72" s="1"/>
  <c r="BG72" s="1"/>
  <c r="AH72"/>
  <c r="AZ72" s="1"/>
  <c r="BH72" s="1"/>
  <c r="AF72" i="10"/>
  <c r="AG72" s="1"/>
  <c r="AH72" s="1"/>
  <c r="AJ72" s="1"/>
  <c r="Y89"/>
  <c r="Z73"/>
  <c r="AA73" s="1"/>
  <c r="AW73" i="12" s="1"/>
  <c r="BE73" s="1"/>
  <c r="BM73" s="1"/>
  <c r="C89" i="10"/>
  <c r="D88"/>
  <c r="L90"/>
  <c r="K90"/>
  <c r="J90"/>
  <c r="H90"/>
  <c r="G90"/>
  <c r="I90"/>
  <c r="N87"/>
  <c r="M87"/>
  <c r="X90"/>
  <c r="P86"/>
  <c r="Q86" s="1"/>
  <c r="B91"/>
  <c r="AS90" i="12" l="1"/>
  <c r="AM90"/>
  <c r="AD90"/>
  <c r="AV90"/>
  <c r="AG90"/>
  <c r="AJ90"/>
  <c r="AM86" i="10"/>
  <c r="AN86"/>
  <c r="AL86" i="12"/>
  <c r="AO86"/>
  <c r="AI86"/>
  <c r="AU86"/>
  <c r="AR86"/>
  <c r="AF86"/>
  <c r="AC86"/>
  <c r="AO86" i="10"/>
  <c r="F74" i="12"/>
  <c r="K74"/>
  <c r="I74"/>
  <c r="G74"/>
  <c r="J74"/>
  <c r="E74"/>
  <c r="H74"/>
  <c r="E88" i="10"/>
  <c r="I7" i="13"/>
  <c r="I9" s="1"/>
  <c r="I30"/>
  <c r="V89" i="10"/>
  <c r="V90" s="1"/>
  <c r="AX91"/>
  <c r="B91" i="12"/>
  <c r="AP91" s="1"/>
  <c r="K2" i="13"/>
  <c r="K2" i="14" s="1"/>
  <c r="A112" i="12"/>
  <c r="AQ86" i="10"/>
  <c r="AQ73" i="12"/>
  <c r="BC73" s="1"/>
  <c r="BK73" s="1"/>
  <c r="AT73"/>
  <c r="BD73" s="1"/>
  <c r="BL73" s="1"/>
  <c r="AK73"/>
  <c r="BA73" s="1"/>
  <c r="BI73" s="1"/>
  <c r="AN73"/>
  <c r="BB73" s="1"/>
  <c r="BJ73" s="1"/>
  <c r="AE73"/>
  <c r="AY73" s="1"/>
  <c r="BG73" s="1"/>
  <c r="AH73"/>
  <c r="AZ73" s="1"/>
  <c r="BH73" s="1"/>
  <c r="AF73" i="10"/>
  <c r="AG73" s="1"/>
  <c r="AH73" s="1"/>
  <c r="AJ73" s="1"/>
  <c r="Y90"/>
  <c r="Z74"/>
  <c r="AA74" s="1"/>
  <c r="AW74" i="12" s="1"/>
  <c r="BE74" s="1"/>
  <c r="BM74" s="1"/>
  <c r="D89" i="10"/>
  <c r="C90"/>
  <c r="I91"/>
  <c r="L91"/>
  <c r="O91"/>
  <c r="K91"/>
  <c r="J91"/>
  <c r="H91"/>
  <c r="G91"/>
  <c r="N88"/>
  <c r="M88"/>
  <c r="X91"/>
  <c r="P87"/>
  <c r="Q87" s="1"/>
  <c r="B92"/>
  <c r="AJ91" i="12" l="1"/>
  <c r="AV91"/>
  <c r="AM91"/>
  <c r="AG91"/>
  <c r="AD91"/>
  <c r="AS91"/>
  <c r="AN87" i="10"/>
  <c r="AM87"/>
  <c r="AL87" i="12"/>
  <c r="AO87"/>
  <c r="AU87"/>
  <c r="AR87"/>
  <c r="AI87"/>
  <c r="AF87"/>
  <c r="AC87"/>
  <c r="AO87" i="10"/>
  <c r="J75" i="12"/>
  <c r="E75"/>
  <c r="I75"/>
  <c r="K75"/>
  <c r="H75"/>
  <c r="F75"/>
  <c r="G75"/>
  <c r="I18" i="13"/>
  <c r="I19"/>
  <c r="E89" i="10"/>
  <c r="T91"/>
  <c r="AX92"/>
  <c r="T92"/>
  <c r="B92" i="12"/>
  <c r="AP92" s="1"/>
  <c r="A113"/>
  <c r="AQ87" i="10"/>
  <c r="AQ74" i="12"/>
  <c r="BC74" s="1"/>
  <c r="BK74" s="1"/>
  <c r="AT74"/>
  <c r="BD74" s="1"/>
  <c r="BL74" s="1"/>
  <c r="AK74"/>
  <c r="BA74" s="1"/>
  <c r="BI74" s="1"/>
  <c r="AN74"/>
  <c r="BB74" s="1"/>
  <c r="BJ74" s="1"/>
  <c r="AE74"/>
  <c r="AY74" s="1"/>
  <c r="BG74" s="1"/>
  <c r="AH74"/>
  <c r="AZ74" s="1"/>
  <c r="BH74" s="1"/>
  <c r="AF74" i="10"/>
  <c r="AG74" s="1"/>
  <c r="AH74" s="1"/>
  <c r="AJ74" s="1"/>
  <c r="Y91"/>
  <c r="Z75"/>
  <c r="AA75" s="1"/>
  <c r="AW75" i="12" s="1"/>
  <c r="BE75" s="1"/>
  <c r="BM75" s="1"/>
  <c r="I92" i="10"/>
  <c r="K92"/>
  <c r="J92"/>
  <c r="H92"/>
  <c r="G92"/>
  <c r="C91"/>
  <c r="D90"/>
  <c r="E90" s="1"/>
  <c r="O90" s="1"/>
  <c r="L92"/>
  <c r="N89"/>
  <c r="M89"/>
  <c r="X92"/>
  <c r="P88"/>
  <c r="Q88" s="1"/>
  <c r="B93"/>
  <c r="AS92" i="12" l="1"/>
  <c r="AG92"/>
  <c r="AV92"/>
  <c r="AD92"/>
  <c r="AM92"/>
  <c r="AJ92"/>
  <c r="AN88" i="10"/>
  <c r="AM88"/>
  <c r="AL88" i="12"/>
  <c r="AO88"/>
  <c r="AU88"/>
  <c r="I38" i="14" s="1"/>
  <c r="AR88" i="12"/>
  <c r="I36" i="14" s="1"/>
  <c r="AI88" i="12"/>
  <c r="I30" i="14" s="1"/>
  <c r="AF88" i="12"/>
  <c r="I28" i="14" s="1"/>
  <c r="AC88" i="12"/>
  <c r="I26" i="14" s="1"/>
  <c r="AO88" i="10"/>
  <c r="I21" i="13"/>
  <c r="I23" s="1"/>
  <c r="H12" i="14" s="1"/>
  <c r="H20" s="1"/>
  <c r="H76" i="12"/>
  <c r="I76"/>
  <c r="J76"/>
  <c r="K76"/>
  <c r="F76"/>
  <c r="E76"/>
  <c r="G76"/>
  <c r="H14" i="14"/>
  <c r="H22" s="1"/>
  <c r="V91" i="10"/>
  <c r="V92" s="1"/>
  <c r="AX93"/>
  <c r="T93"/>
  <c r="B93" i="12"/>
  <c r="AP93" s="1"/>
  <c r="A114"/>
  <c r="I32" i="14"/>
  <c r="I34"/>
  <c r="AQ88" i="10"/>
  <c r="AQ75" i="12"/>
  <c r="BC75" s="1"/>
  <c r="BK75" s="1"/>
  <c r="AT75"/>
  <c r="BD75" s="1"/>
  <c r="BL75" s="1"/>
  <c r="AK75"/>
  <c r="BA75" s="1"/>
  <c r="BI75" s="1"/>
  <c r="AN75"/>
  <c r="BB75" s="1"/>
  <c r="BJ75" s="1"/>
  <c r="AE75"/>
  <c r="AY75" s="1"/>
  <c r="BG75" s="1"/>
  <c r="AH75"/>
  <c r="AZ75" s="1"/>
  <c r="BH75" s="1"/>
  <c r="AF75" i="10"/>
  <c r="AG75" s="1"/>
  <c r="AH75" s="1"/>
  <c r="AJ75" s="1"/>
  <c r="Y92"/>
  <c r="Z76"/>
  <c r="O93"/>
  <c r="K93"/>
  <c r="J93"/>
  <c r="H93"/>
  <c r="G93"/>
  <c r="L93"/>
  <c r="I93"/>
  <c r="D91"/>
  <c r="E91" s="1"/>
  <c r="C92"/>
  <c r="N90"/>
  <c r="M90"/>
  <c r="X93"/>
  <c r="P89"/>
  <c r="Q89" s="1"/>
  <c r="B94"/>
  <c r="AJ93" i="12" l="1"/>
  <c r="AD93"/>
  <c r="AG93"/>
  <c r="AM93"/>
  <c r="AV93"/>
  <c r="AS93"/>
  <c r="H13" i="14"/>
  <c r="H21" s="1"/>
  <c r="H9"/>
  <c r="H17" s="1"/>
  <c r="H10"/>
  <c r="H18" s="1"/>
  <c r="AM89" i="10"/>
  <c r="AN89"/>
  <c r="H11" i="14"/>
  <c r="H19" s="1"/>
  <c r="H8"/>
  <c r="H16" s="1"/>
  <c r="I57" i="13"/>
  <c r="I56"/>
  <c r="I55"/>
  <c r="AL89" i="12"/>
  <c r="AO89"/>
  <c r="AI89"/>
  <c r="AU89"/>
  <c r="AR89"/>
  <c r="AF89"/>
  <c r="AC89"/>
  <c r="AO89" i="10"/>
  <c r="V93"/>
  <c r="J77" i="12"/>
  <c r="G77"/>
  <c r="I77"/>
  <c r="E77"/>
  <c r="F77"/>
  <c r="K77"/>
  <c r="H77"/>
  <c r="AA76" i="10"/>
  <c r="AT76" i="12" s="1"/>
  <c r="BD76" s="1"/>
  <c r="BL76" s="1"/>
  <c r="H35" i="13"/>
  <c r="I60"/>
  <c r="I6" i="14" s="1"/>
  <c r="AX94" i="10"/>
  <c r="T94"/>
  <c r="B94" i="12"/>
  <c r="AP94" s="1"/>
  <c r="A115"/>
  <c r="AQ89" i="10"/>
  <c r="Y93"/>
  <c r="D12" i="12"/>
  <c r="Z77" i="10"/>
  <c r="AA77" s="1"/>
  <c r="AW77" i="12" s="1"/>
  <c r="BE77" s="1"/>
  <c r="BM77" s="1"/>
  <c r="O94" i="10"/>
  <c r="K94"/>
  <c r="J94"/>
  <c r="H94"/>
  <c r="G94"/>
  <c r="L94"/>
  <c r="C93"/>
  <c r="D92"/>
  <c r="E92" s="1"/>
  <c r="I94"/>
  <c r="N91"/>
  <c r="M91"/>
  <c r="X94"/>
  <c r="P90"/>
  <c r="Q90" s="1"/>
  <c r="B95"/>
  <c r="AS94" i="12" l="1"/>
  <c r="AM94"/>
  <c r="AD94"/>
  <c r="AV94"/>
  <c r="AG94"/>
  <c r="AJ94"/>
  <c r="AN90" i="10"/>
  <c r="AM90"/>
  <c r="O13" i="12"/>
  <c r="W13" s="1"/>
  <c r="R13"/>
  <c r="Z13" s="1"/>
  <c r="Q13"/>
  <c r="Y13" s="1"/>
  <c r="P13"/>
  <c r="X13" s="1"/>
  <c r="M13"/>
  <c r="U13" s="1"/>
  <c r="S13"/>
  <c r="AA13" s="1"/>
  <c r="N13"/>
  <c r="V13" s="1"/>
  <c r="AL90"/>
  <c r="AO90"/>
  <c r="AI90"/>
  <c r="AU90"/>
  <c r="AR90"/>
  <c r="AF90"/>
  <c r="AC90"/>
  <c r="AO90" i="10"/>
  <c r="V94"/>
  <c r="H78" i="12"/>
  <c r="I78"/>
  <c r="G78"/>
  <c r="J78"/>
  <c r="F78"/>
  <c r="E78"/>
  <c r="K78"/>
  <c r="AH76"/>
  <c r="AZ76" s="1"/>
  <c r="BH76" s="1"/>
  <c r="AN76"/>
  <c r="BB76" s="1"/>
  <c r="BJ76" s="1"/>
  <c r="AF76" i="10"/>
  <c r="AG76" s="1"/>
  <c r="AE76" i="12"/>
  <c r="AY76" s="1"/>
  <c r="BG76" s="1"/>
  <c r="AK76"/>
  <c r="BA76" s="1"/>
  <c r="BI76" s="1"/>
  <c r="AQ76"/>
  <c r="BC76" s="1"/>
  <c r="BK76" s="1"/>
  <c r="AW76"/>
  <c r="BE76" s="1"/>
  <c r="BM76" s="1"/>
  <c r="I62" i="13"/>
  <c r="H36"/>
  <c r="H39" i="14" s="1"/>
  <c r="H47" s="1"/>
  <c r="AX95" i="10"/>
  <c r="T95"/>
  <c r="B95" i="12"/>
  <c r="AP95" s="1"/>
  <c r="A116"/>
  <c r="AQ90" i="10"/>
  <c r="AQ77" i="12"/>
  <c r="BC77" s="1"/>
  <c r="BK77" s="1"/>
  <c r="AT77"/>
  <c r="BD77" s="1"/>
  <c r="BL77" s="1"/>
  <c r="AK77"/>
  <c r="BA77" s="1"/>
  <c r="BI77" s="1"/>
  <c r="AN77"/>
  <c r="BB77" s="1"/>
  <c r="BJ77" s="1"/>
  <c r="AE77"/>
  <c r="AY77" s="1"/>
  <c r="BG77" s="1"/>
  <c r="AH77"/>
  <c r="AZ77" s="1"/>
  <c r="BH77" s="1"/>
  <c r="AF77" i="10"/>
  <c r="AG77" s="1"/>
  <c r="AH77" s="1"/>
  <c r="AJ77" s="1"/>
  <c r="Y94"/>
  <c r="Z78"/>
  <c r="AA78" s="1"/>
  <c r="AW78" i="12" s="1"/>
  <c r="BE78" s="1"/>
  <c r="BM78" s="1"/>
  <c r="L95" i="10"/>
  <c r="O95"/>
  <c r="K95"/>
  <c r="J95"/>
  <c r="H95"/>
  <c r="G95"/>
  <c r="C94"/>
  <c r="D93"/>
  <c r="E93" s="1"/>
  <c r="I95"/>
  <c r="O92"/>
  <c r="N92"/>
  <c r="M92"/>
  <c r="X95"/>
  <c r="P91"/>
  <c r="Q91" s="1"/>
  <c r="B96"/>
  <c r="AJ95" i="12" l="1"/>
  <c r="AV95"/>
  <c r="AM95"/>
  <c r="AG95"/>
  <c r="AD95"/>
  <c r="AS95"/>
  <c r="AN91" i="10"/>
  <c r="AM91"/>
  <c r="V95"/>
  <c r="AL91" i="12"/>
  <c r="AO91"/>
  <c r="AU91"/>
  <c r="AR91"/>
  <c r="AI91"/>
  <c r="AF91"/>
  <c r="AC91"/>
  <c r="AO91" i="10"/>
  <c r="I79" i="12"/>
  <c r="J79"/>
  <c r="E79"/>
  <c r="G79"/>
  <c r="K79"/>
  <c r="H79"/>
  <c r="F79"/>
  <c r="H37" i="14"/>
  <c r="H46" s="1"/>
  <c r="H35"/>
  <c r="H45" s="1"/>
  <c r="H33"/>
  <c r="H44" s="1"/>
  <c r="H31"/>
  <c r="H43" s="1"/>
  <c r="H29"/>
  <c r="H42" s="1"/>
  <c r="H27"/>
  <c r="H41" s="1"/>
  <c r="H61" i="13"/>
  <c r="H44"/>
  <c r="AH76" i="10"/>
  <c r="H45" i="13"/>
  <c r="AX96" i="10"/>
  <c r="T96"/>
  <c r="B96" i="12"/>
  <c r="AP96" s="1"/>
  <c r="A117"/>
  <c r="AQ91" i="10"/>
  <c r="AQ78" i="12"/>
  <c r="BC78" s="1"/>
  <c r="BK78" s="1"/>
  <c r="AT78"/>
  <c r="BD78" s="1"/>
  <c r="BL78" s="1"/>
  <c r="AK78"/>
  <c r="BA78" s="1"/>
  <c r="BI78" s="1"/>
  <c r="AN78"/>
  <c r="BB78" s="1"/>
  <c r="BJ78" s="1"/>
  <c r="AE78"/>
  <c r="AY78" s="1"/>
  <c r="BG78" s="1"/>
  <c r="AH78"/>
  <c r="AZ78" s="1"/>
  <c r="BH78" s="1"/>
  <c r="AF78" i="10"/>
  <c r="AG78" s="1"/>
  <c r="AH78" s="1"/>
  <c r="AJ78" s="1"/>
  <c r="Y95"/>
  <c r="Z79"/>
  <c r="AA79" s="1"/>
  <c r="AW79" i="12" s="1"/>
  <c r="BE79" s="1"/>
  <c r="BM79" s="1"/>
  <c r="O96" i="10"/>
  <c r="K96"/>
  <c r="J96"/>
  <c r="H96"/>
  <c r="G96"/>
  <c r="L96"/>
  <c r="D94"/>
  <c r="E94" s="1"/>
  <c r="C95"/>
  <c r="I96"/>
  <c r="N93"/>
  <c r="M93"/>
  <c r="X96"/>
  <c r="P92"/>
  <c r="Q92" s="1"/>
  <c r="B97"/>
  <c r="AS96" i="12" l="1"/>
  <c r="AG96"/>
  <c r="AV96"/>
  <c r="AD96"/>
  <c r="AM96"/>
  <c r="AJ96"/>
  <c r="V96" i="10"/>
  <c r="AN92"/>
  <c r="AM92"/>
  <c r="H63" i="13"/>
  <c r="H65"/>
  <c r="AL92" i="12"/>
  <c r="AO92"/>
  <c r="AU92"/>
  <c r="AR92"/>
  <c r="AI92"/>
  <c r="AF92"/>
  <c r="AC92"/>
  <c r="AO92" i="10"/>
  <c r="H80" i="12"/>
  <c r="E80"/>
  <c r="J80"/>
  <c r="F80"/>
  <c r="K80"/>
  <c r="G80"/>
  <c r="I80"/>
  <c r="AJ76" i="10"/>
  <c r="H47" i="13"/>
  <c r="AX97" i="10"/>
  <c r="T97"/>
  <c r="B97" i="12"/>
  <c r="AP97" s="1"/>
  <c r="A118"/>
  <c r="AQ92" i="10"/>
  <c r="AQ79" i="12"/>
  <c r="BC79" s="1"/>
  <c r="BK79" s="1"/>
  <c r="AT79"/>
  <c r="BD79" s="1"/>
  <c r="BL79" s="1"/>
  <c r="AK79"/>
  <c r="BA79" s="1"/>
  <c r="BI79" s="1"/>
  <c r="AN79"/>
  <c r="BB79" s="1"/>
  <c r="BJ79" s="1"/>
  <c r="AE79"/>
  <c r="AY79" s="1"/>
  <c r="BG79" s="1"/>
  <c r="AH79"/>
  <c r="AZ79" s="1"/>
  <c r="BH79" s="1"/>
  <c r="AF79" i="10"/>
  <c r="AG79" s="1"/>
  <c r="AH79" s="1"/>
  <c r="AJ79" s="1"/>
  <c r="Y96"/>
  <c r="Z80"/>
  <c r="AA80" s="1"/>
  <c r="AW80" i="12" s="1"/>
  <c r="BE80" s="1"/>
  <c r="BM80" s="1"/>
  <c r="O97" i="10"/>
  <c r="K97"/>
  <c r="J97"/>
  <c r="H97"/>
  <c r="G97"/>
  <c r="D95"/>
  <c r="E95" s="1"/>
  <c r="C96"/>
  <c r="L97"/>
  <c r="I97"/>
  <c r="N94"/>
  <c r="M94"/>
  <c r="X97"/>
  <c r="P93"/>
  <c r="Q93" s="1"/>
  <c r="B98"/>
  <c r="AJ97" i="12" l="1"/>
  <c r="AD97"/>
  <c r="AG97"/>
  <c r="AM97"/>
  <c r="AV97"/>
  <c r="AS97"/>
  <c r="V97" i="10"/>
  <c r="AM93"/>
  <c r="AN93"/>
  <c r="AL93" i="12"/>
  <c r="AO93"/>
  <c r="AI93"/>
  <c r="AU93"/>
  <c r="AR93"/>
  <c r="AF93"/>
  <c r="AC93"/>
  <c r="AO93" i="10"/>
  <c r="K81" i="12"/>
  <c r="I81"/>
  <c r="E81"/>
  <c r="F81"/>
  <c r="J81"/>
  <c r="H81"/>
  <c r="G81"/>
  <c r="H52" i="13"/>
  <c r="AX98" i="10"/>
  <c r="T98"/>
  <c r="B98" i="12"/>
  <c r="AP98" s="1"/>
  <c r="V98" i="10"/>
  <c r="A119" i="12"/>
  <c r="AQ93" i="10"/>
  <c r="AQ80" i="12"/>
  <c r="BC80" s="1"/>
  <c r="BK80" s="1"/>
  <c r="AT80"/>
  <c r="BD80" s="1"/>
  <c r="BL80" s="1"/>
  <c r="AK80"/>
  <c r="BA80" s="1"/>
  <c r="BI80" s="1"/>
  <c r="AN80"/>
  <c r="BB80" s="1"/>
  <c r="BJ80" s="1"/>
  <c r="AE80"/>
  <c r="AY80" s="1"/>
  <c r="BG80" s="1"/>
  <c r="AH80"/>
  <c r="AZ80" s="1"/>
  <c r="BH80" s="1"/>
  <c r="AF80" i="10"/>
  <c r="AG80" s="1"/>
  <c r="AH80" s="1"/>
  <c r="AJ80" s="1"/>
  <c r="Y97"/>
  <c r="Z81"/>
  <c r="AA81" s="1"/>
  <c r="AW81" i="12" s="1"/>
  <c r="BE81" s="1"/>
  <c r="BM81" s="1"/>
  <c r="O98" i="10"/>
  <c r="K98"/>
  <c r="J98"/>
  <c r="H98"/>
  <c r="G98"/>
  <c r="L98"/>
  <c r="D96"/>
  <c r="E96" s="1"/>
  <c r="C97"/>
  <c r="I98"/>
  <c r="N95"/>
  <c r="M95"/>
  <c r="X98"/>
  <c r="P94"/>
  <c r="Q94" s="1"/>
  <c r="B99"/>
  <c r="AS98" i="12" l="1"/>
  <c r="AM98"/>
  <c r="AD98"/>
  <c r="AV98"/>
  <c r="AG98"/>
  <c r="AJ98"/>
  <c r="AM94" i="10"/>
  <c r="AN94"/>
  <c r="AL94" i="12"/>
  <c r="AO94"/>
  <c r="AI94"/>
  <c r="AU94"/>
  <c r="AR94"/>
  <c r="AF94"/>
  <c r="AC94"/>
  <c r="AO94" i="10"/>
  <c r="H82" i="12"/>
  <c r="G82"/>
  <c r="K82"/>
  <c r="E82"/>
  <c r="F82"/>
  <c r="J82"/>
  <c r="I82"/>
  <c r="AX99" i="10"/>
  <c r="T99"/>
  <c r="V99" s="1"/>
  <c r="B99" i="12"/>
  <c r="AP99" s="1"/>
  <c r="A120"/>
  <c r="AQ94" i="10"/>
  <c r="AQ81" i="12"/>
  <c r="BC81" s="1"/>
  <c r="BK81" s="1"/>
  <c r="AT81"/>
  <c r="BD81" s="1"/>
  <c r="BL81" s="1"/>
  <c r="AK81"/>
  <c r="BA81" s="1"/>
  <c r="BI81" s="1"/>
  <c r="AN81"/>
  <c r="BB81" s="1"/>
  <c r="BJ81" s="1"/>
  <c r="AE81"/>
  <c r="AY81" s="1"/>
  <c r="BG81" s="1"/>
  <c r="AH81"/>
  <c r="AZ81" s="1"/>
  <c r="BH81" s="1"/>
  <c r="AF81" i="10"/>
  <c r="AG81" s="1"/>
  <c r="AH81" s="1"/>
  <c r="AJ81" s="1"/>
  <c r="Y98"/>
  <c r="Z82"/>
  <c r="AA82" s="1"/>
  <c r="AW82" i="12" s="1"/>
  <c r="BE82" s="1"/>
  <c r="BM82" s="1"/>
  <c r="O99" i="10"/>
  <c r="K99"/>
  <c r="J99"/>
  <c r="H99"/>
  <c r="G99"/>
  <c r="D97"/>
  <c r="E97" s="1"/>
  <c r="C98"/>
  <c r="L99"/>
  <c r="I99"/>
  <c r="N96"/>
  <c r="M96"/>
  <c r="X99"/>
  <c r="P95"/>
  <c r="Q95" s="1"/>
  <c r="B100"/>
  <c r="AJ99" i="12" l="1"/>
  <c r="AV99"/>
  <c r="AM99"/>
  <c r="AG99"/>
  <c r="AD99"/>
  <c r="AS99"/>
  <c r="AM95" i="10"/>
  <c r="AN95"/>
  <c r="AL95" i="12"/>
  <c r="AO95"/>
  <c r="AU95"/>
  <c r="AR95"/>
  <c r="AI95"/>
  <c r="AF95"/>
  <c r="AC95"/>
  <c r="AO95" i="10"/>
  <c r="G83" i="12"/>
  <c r="E83"/>
  <c r="J83"/>
  <c r="H83"/>
  <c r="F83"/>
  <c r="K83"/>
  <c r="I83"/>
  <c r="AX100" i="10"/>
  <c r="B100" i="12"/>
  <c r="AP100" s="1"/>
  <c r="A121"/>
  <c r="AQ95" i="10"/>
  <c r="AQ82" i="12"/>
  <c r="BC82" s="1"/>
  <c r="BK82" s="1"/>
  <c r="AT82"/>
  <c r="BD82" s="1"/>
  <c r="BL82" s="1"/>
  <c r="AK82"/>
  <c r="BA82" s="1"/>
  <c r="BI82" s="1"/>
  <c r="AN82"/>
  <c r="BB82" s="1"/>
  <c r="BJ82" s="1"/>
  <c r="AE82"/>
  <c r="AY82" s="1"/>
  <c r="BG82" s="1"/>
  <c r="AH82"/>
  <c r="AZ82" s="1"/>
  <c r="BH82" s="1"/>
  <c r="AF82" i="10"/>
  <c r="AG82" s="1"/>
  <c r="AH82" s="1"/>
  <c r="AJ82" s="1"/>
  <c r="Y99"/>
  <c r="Z83"/>
  <c r="AA83" s="1"/>
  <c r="AW83" i="12" s="1"/>
  <c r="BE83" s="1"/>
  <c r="BM83" s="1"/>
  <c r="O100" i="10"/>
  <c r="K100"/>
  <c r="J100"/>
  <c r="H100"/>
  <c r="G100"/>
  <c r="L100"/>
  <c r="D98"/>
  <c r="E98" s="1"/>
  <c r="C99"/>
  <c r="I100"/>
  <c r="N97"/>
  <c r="M97"/>
  <c r="X100"/>
  <c r="P96"/>
  <c r="Q96" s="1"/>
  <c r="B101"/>
  <c r="AS100" i="12" l="1"/>
  <c r="AG100"/>
  <c r="AV100"/>
  <c r="AD100"/>
  <c r="AM100"/>
  <c r="AJ100"/>
  <c r="AN96" i="10"/>
  <c r="AM96"/>
  <c r="AL96" i="12"/>
  <c r="AO96"/>
  <c r="AU96"/>
  <c r="AR96"/>
  <c r="AI96"/>
  <c r="AF96"/>
  <c r="AC96"/>
  <c r="AO96" i="10"/>
  <c r="G84" i="12"/>
  <c r="H84"/>
  <c r="E84"/>
  <c r="J84"/>
  <c r="I84"/>
  <c r="F84"/>
  <c r="K84"/>
  <c r="J14" i="13"/>
  <c r="J13"/>
  <c r="J16"/>
  <c r="J33"/>
  <c r="J17"/>
  <c r="J12"/>
  <c r="J15"/>
  <c r="J20"/>
  <c r="T100" i="10"/>
  <c r="J26" i="13"/>
  <c r="AX101" i="10"/>
  <c r="B101" i="12"/>
  <c r="AP101" s="1"/>
  <c r="A122"/>
  <c r="AQ96" i="10"/>
  <c r="AQ83" i="12"/>
  <c r="BC83" s="1"/>
  <c r="BK83" s="1"/>
  <c r="AT83"/>
  <c r="BD83" s="1"/>
  <c r="BL83" s="1"/>
  <c r="AK83"/>
  <c r="BA83" s="1"/>
  <c r="BI83" s="1"/>
  <c r="AN83"/>
  <c r="BB83" s="1"/>
  <c r="BJ83" s="1"/>
  <c r="AE83"/>
  <c r="AY83" s="1"/>
  <c r="BG83" s="1"/>
  <c r="AH83"/>
  <c r="AZ83" s="1"/>
  <c r="BH83" s="1"/>
  <c r="AF83" i="10"/>
  <c r="AG83" s="1"/>
  <c r="AH83" s="1"/>
  <c r="AJ83" s="1"/>
  <c r="Y100"/>
  <c r="Z84"/>
  <c r="AA84" s="1"/>
  <c r="AW84" i="12" s="1"/>
  <c r="BE84" s="1"/>
  <c r="BM84" s="1"/>
  <c r="O101" i="10"/>
  <c r="K101"/>
  <c r="J101"/>
  <c r="H101"/>
  <c r="G101"/>
  <c r="D99"/>
  <c r="E99" s="1"/>
  <c r="C100"/>
  <c r="L101"/>
  <c r="I101"/>
  <c r="N98"/>
  <c r="M98"/>
  <c r="X101"/>
  <c r="P97"/>
  <c r="Q97" s="1"/>
  <c r="B102"/>
  <c r="AJ101" i="12" l="1"/>
  <c r="AD101"/>
  <c r="AG101"/>
  <c r="AM101"/>
  <c r="AV101"/>
  <c r="AS101"/>
  <c r="AN97" i="10"/>
  <c r="AM97"/>
  <c r="AL97" i="12"/>
  <c r="AO97"/>
  <c r="AI97"/>
  <c r="AU97"/>
  <c r="AR97"/>
  <c r="AF97"/>
  <c r="AC97"/>
  <c r="AO97" i="10"/>
  <c r="K85" i="12"/>
  <c r="E85"/>
  <c r="G85"/>
  <c r="F85"/>
  <c r="J85"/>
  <c r="H85"/>
  <c r="I85"/>
  <c r="J6" i="13"/>
  <c r="J34"/>
  <c r="T101" i="10"/>
  <c r="V100"/>
  <c r="J27" i="13"/>
  <c r="J28" s="1"/>
  <c r="AX102" i="10"/>
  <c r="T102"/>
  <c r="B102" i="12"/>
  <c r="AP102" s="1"/>
  <c r="A123"/>
  <c r="AQ97" i="10"/>
  <c r="AQ84" i="12"/>
  <c r="BC84" s="1"/>
  <c r="BK84" s="1"/>
  <c r="AT84"/>
  <c r="BD84" s="1"/>
  <c r="BL84" s="1"/>
  <c r="AK84"/>
  <c r="BA84" s="1"/>
  <c r="BI84" s="1"/>
  <c r="AN84"/>
  <c r="BB84" s="1"/>
  <c r="BJ84" s="1"/>
  <c r="AE84"/>
  <c r="AY84" s="1"/>
  <c r="BG84" s="1"/>
  <c r="AH84"/>
  <c r="AZ84" s="1"/>
  <c r="BH84" s="1"/>
  <c r="AF84" i="10"/>
  <c r="AG84" s="1"/>
  <c r="AH84" s="1"/>
  <c r="Y101"/>
  <c r="Z85"/>
  <c r="AA85" s="1"/>
  <c r="AW85" i="12" s="1"/>
  <c r="BE85" s="1"/>
  <c r="BM85" s="1"/>
  <c r="L102" i="10"/>
  <c r="K102"/>
  <c r="J102"/>
  <c r="H102"/>
  <c r="G102"/>
  <c r="D100"/>
  <c r="C101"/>
  <c r="I102"/>
  <c r="N99"/>
  <c r="M99"/>
  <c r="X102"/>
  <c r="P98"/>
  <c r="Q98" s="1"/>
  <c r="B103"/>
  <c r="AS102" i="12" l="1"/>
  <c r="AM102"/>
  <c r="AD102"/>
  <c r="AV102"/>
  <c r="AG102"/>
  <c r="AJ102"/>
  <c r="AM98" i="10"/>
  <c r="AN98"/>
  <c r="AL98" i="12"/>
  <c r="AO98"/>
  <c r="AI98"/>
  <c r="AU98"/>
  <c r="AR98"/>
  <c r="AF98"/>
  <c r="AC98"/>
  <c r="AO98" i="10"/>
  <c r="G86" i="12"/>
  <c r="H86"/>
  <c r="K86"/>
  <c r="J86"/>
  <c r="F86"/>
  <c r="E86"/>
  <c r="I86"/>
  <c r="E100" i="10"/>
  <c r="J7" i="13"/>
  <c r="J9" s="1"/>
  <c r="V101" i="10"/>
  <c r="V102" s="1"/>
  <c r="J30" i="13"/>
  <c r="AX103" i="10"/>
  <c r="T103"/>
  <c r="B103" i="12"/>
  <c r="AP103" s="1"/>
  <c r="L2" i="13"/>
  <c r="A124" i="12"/>
  <c r="AQ98" i="10"/>
  <c r="AQ85" i="12"/>
  <c r="BC85" s="1"/>
  <c r="BK85" s="1"/>
  <c r="AT85"/>
  <c r="BD85" s="1"/>
  <c r="BL85" s="1"/>
  <c r="AK85"/>
  <c r="BA85" s="1"/>
  <c r="BI85" s="1"/>
  <c r="AN85"/>
  <c r="BB85" s="1"/>
  <c r="BJ85" s="1"/>
  <c r="AE85"/>
  <c r="AY85" s="1"/>
  <c r="BG85" s="1"/>
  <c r="AH85"/>
  <c r="AZ85" s="1"/>
  <c r="BH85" s="1"/>
  <c r="AF85" i="10"/>
  <c r="AG85" s="1"/>
  <c r="AH85" s="1"/>
  <c r="AJ85" s="1"/>
  <c r="AJ84"/>
  <c r="Y102"/>
  <c r="Z86"/>
  <c r="AA86" s="1"/>
  <c r="AW86" i="12" s="1"/>
  <c r="BE86" s="1"/>
  <c r="BM86" s="1"/>
  <c r="I103" i="10"/>
  <c r="L103"/>
  <c r="O103"/>
  <c r="K103"/>
  <c r="J103"/>
  <c r="H103"/>
  <c r="G103"/>
  <c r="D101"/>
  <c r="C102"/>
  <c r="N100"/>
  <c r="M100"/>
  <c r="X103"/>
  <c r="P99"/>
  <c r="Q99" s="1"/>
  <c r="B104"/>
  <c r="AJ103" i="12" l="1"/>
  <c r="AV103"/>
  <c r="AM103"/>
  <c r="AG103"/>
  <c r="AD103"/>
  <c r="AS103"/>
  <c r="AN99" i="10"/>
  <c r="AM99"/>
  <c r="L2" i="14"/>
  <c r="AL99" i="12"/>
  <c r="AO99"/>
  <c r="AU99"/>
  <c r="AR99"/>
  <c r="AI99"/>
  <c r="AF99"/>
  <c r="AC99"/>
  <c r="AO99" i="10"/>
  <c r="E87" i="12"/>
  <c r="H87"/>
  <c r="I87"/>
  <c r="F87"/>
  <c r="G87"/>
  <c r="J87"/>
  <c r="K87"/>
  <c r="V103" i="10"/>
  <c r="J18" i="13"/>
  <c r="J19"/>
  <c r="E101" i="10"/>
  <c r="AX104"/>
  <c r="T104"/>
  <c r="B104" i="12"/>
  <c r="AP104" s="1"/>
  <c r="AQ99" i="10"/>
  <c r="AQ86" i="12"/>
  <c r="BC86" s="1"/>
  <c r="BK86" s="1"/>
  <c r="AT86"/>
  <c r="BD86" s="1"/>
  <c r="BL86" s="1"/>
  <c r="AK86"/>
  <c r="BA86" s="1"/>
  <c r="BI86" s="1"/>
  <c r="AN86"/>
  <c r="BB86" s="1"/>
  <c r="BJ86" s="1"/>
  <c r="AE86"/>
  <c r="AY86" s="1"/>
  <c r="BG86" s="1"/>
  <c r="AH86"/>
  <c r="AZ86" s="1"/>
  <c r="BH86" s="1"/>
  <c r="AF86" i="10"/>
  <c r="AG86" s="1"/>
  <c r="AH86" s="1"/>
  <c r="AJ86" s="1"/>
  <c r="Y103"/>
  <c r="Z87"/>
  <c r="AA87" s="1"/>
  <c r="AW87" i="12" s="1"/>
  <c r="BE87" s="1"/>
  <c r="BM87" s="1"/>
  <c r="I104" i="10"/>
  <c r="K104"/>
  <c r="J104"/>
  <c r="H104"/>
  <c r="G104"/>
  <c r="C103"/>
  <c r="D102"/>
  <c r="E102" s="1"/>
  <c r="O102" s="1"/>
  <c r="L104"/>
  <c r="N101"/>
  <c r="M101"/>
  <c r="X104"/>
  <c r="P100"/>
  <c r="Q100" s="1"/>
  <c r="B105"/>
  <c r="AS104" i="12" l="1"/>
  <c r="AG104"/>
  <c r="AV104"/>
  <c r="AD104"/>
  <c r="AM104"/>
  <c r="AJ104"/>
  <c r="AN100" i="10"/>
  <c r="AM100"/>
  <c r="AL100" i="12"/>
  <c r="J32" i="14" s="1"/>
  <c r="AO100" i="12"/>
  <c r="J34" i="14" s="1"/>
  <c r="AU100" i="12"/>
  <c r="J38" i="14" s="1"/>
  <c r="AR100" i="12"/>
  <c r="J36" i="14" s="1"/>
  <c r="AI100" i="12"/>
  <c r="J30" i="14" s="1"/>
  <c r="AF100" i="12"/>
  <c r="J28" i="14" s="1"/>
  <c r="AC100" i="12"/>
  <c r="J26" i="14" s="1"/>
  <c r="AO100" i="10"/>
  <c r="E88" i="12"/>
  <c r="H88"/>
  <c r="F88"/>
  <c r="I88"/>
  <c r="J88"/>
  <c r="K88"/>
  <c r="G88"/>
  <c r="V104" i="10"/>
  <c r="J21" i="13"/>
  <c r="J23" s="1"/>
  <c r="AX105" i="10"/>
  <c r="T105"/>
  <c r="B105" i="12"/>
  <c r="AP105" s="1"/>
  <c r="AQ100" i="10"/>
  <c r="AQ87" i="12"/>
  <c r="BC87" s="1"/>
  <c r="BK87" s="1"/>
  <c r="AT87"/>
  <c r="BD87" s="1"/>
  <c r="BL87" s="1"/>
  <c r="AK87"/>
  <c r="BA87" s="1"/>
  <c r="BI87" s="1"/>
  <c r="AN87"/>
  <c r="BB87" s="1"/>
  <c r="BJ87" s="1"/>
  <c r="AE87"/>
  <c r="AY87" s="1"/>
  <c r="BG87" s="1"/>
  <c r="AH87"/>
  <c r="AZ87" s="1"/>
  <c r="BH87" s="1"/>
  <c r="AF87" i="10"/>
  <c r="AG87" s="1"/>
  <c r="AH87" s="1"/>
  <c r="AJ87" s="1"/>
  <c r="Y104"/>
  <c r="Z88"/>
  <c r="O105"/>
  <c r="K105"/>
  <c r="J105"/>
  <c r="H105"/>
  <c r="G105"/>
  <c r="D103"/>
  <c r="E103" s="1"/>
  <c r="C104"/>
  <c r="L105"/>
  <c r="I105"/>
  <c r="N102"/>
  <c r="M102"/>
  <c r="X105"/>
  <c r="P101"/>
  <c r="Q101" s="1"/>
  <c r="B106"/>
  <c r="AJ105" i="12" l="1"/>
  <c r="AD105"/>
  <c r="AG105"/>
  <c r="AM105"/>
  <c r="AV105"/>
  <c r="AS105"/>
  <c r="AN101" i="10"/>
  <c r="AM101"/>
  <c r="J57" i="13"/>
  <c r="J56"/>
  <c r="J55"/>
  <c r="AL101" i="12"/>
  <c r="AO101"/>
  <c r="AU101"/>
  <c r="AI101"/>
  <c r="AR101"/>
  <c r="AF101"/>
  <c r="AC101"/>
  <c r="AO101" i="10"/>
  <c r="V105"/>
  <c r="I89" i="12"/>
  <c r="E89"/>
  <c r="J89"/>
  <c r="H89"/>
  <c r="G89"/>
  <c r="K89"/>
  <c r="F89"/>
  <c r="I13" i="14"/>
  <c r="I21" s="1"/>
  <c r="I11"/>
  <c r="I19" s="1"/>
  <c r="I9"/>
  <c r="I17" s="1"/>
  <c r="I14"/>
  <c r="I22" s="1"/>
  <c r="I12"/>
  <c r="I20" s="1"/>
  <c r="I10"/>
  <c r="I18" s="1"/>
  <c r="I8"/>
  <c r="I16" s="1"/>
  <c r="AA88" i="10"/>
  <c r="I36" i="13" s="1"/>
  <c r="I39" i="14" s="1"/>
  <c r="I47" s="1"/>
  <c r="I35" i="13"/>
  <c r="J60"/>
  <c r="J6" i="14" s="1"/>
  <c r="AX106" i="10"/>
  <c r="T106"/>
  <c r="V106" s="1"/>
  <c r="B106" i="12"/>
  <c r="AP106" s="1"/>
  <c r="AQ101" i="10"/>
  <c r="Y105"/>
  <c r="I106"/>
  <c r="Z89"/>
  <c r="AA89" s="1"/>
  <c r="AW89" i="12" s="1"/>
  <c r="BE89" s="1"/>
  <c r="BM89" s="1"/>
  <c r="O106" i="10"/>
  <c r="K106"/>
  <c r="J106"/>
  <c r="H106"/>
  <c r="G106"/>
  <c r="L106"/>
  <c r="C105"/>
  <c r="D104"/>
  <c r="E104" s="1"/>
  <c r="N103"/>
  <c r="M103"/>
  <c r="X106"/>
  <c r="P102"/>
  <c r="Q102" s="1"/>
  <c r="B107"/>
  <c r="AS106" i="12" l="1"/>
  <c r="AM106"/>
  <c r="AD106"/>
  <c r="AV106"/>
  <c r="AG106"/>
  <c r="AJ106"/>
  <c r="AM102" i="10"/>
  <c r="AN102"/>
  <c r="AL102" i="12"/>
  <c r="AO102"/>
  <c r="AI102"/>
  <c r="AU102"/>
  <c r="AR102"/>
  <c r="AF102"/>
  <c r="AC102"/>
  <c r="AO102" i="10"/>
  <c r="I90" i="12"/>
  <c r="E90"/>
  <c r="G90"/>
  <c r="K90"/>
  <c r="J90"/>
  <c r="F90"/>
  <c r="H90"/>
  <c r="I37" i="14"/>
  <c r="I46" s="1"/>
  <c r="I35"/>
  <c r="I45" s="1"/>
  <c r="I33"/>
  <c r="I44" s="1"/>
  <c r="I31"/>
  <c r="I43" s="1"/>
  <c r="I29"/>
  <c r="I42" s="1"/>
  <c r="I27"/>
  <c r="I41" s="1"/>
  <c r="I61" i="13"/>
  <c r="AT88" i="12"/>
  <c r="BD88" s="1"/>
  <c r="BL88" s="1"/>
  <c r="AW88"/>
  <c r="BE88" s="1"/>
  <c r="BM88" s="1"/>
  <c r="AH88"/>
  <c r="AZ88" s="1"/>
  <c r="BH88" s="1"/>
  <c r="AN88"/>
  <c r="BB88" s="1"/>
  <c r="BJ88" s="1"/>
  <c r="AF88" i="10"/>
  <c r="AG88" s="1"/>
  <c r="AE88" i="12"/>
  <c r="AY88" s="1"/>
  <c r="BG88" s="1"/>
  <c r="AK88"/>
  <c r="BA88" s="1"/>
  <c r="BI88" s="1"/>
  <c r="AQ88"/>
  <c r="BC88" s="1"/>
  <c r="BK88" s="1"/>
  <c r="J62" i="13"/>
  <c r="AX107" i="10"/>
  <c r="T107"/>
  <c r="V107" s="1"/>
  <c r="B107" i="12"/>
  <c r="AP107" s="1"/>
  <c r="AQ102" i="10"/>
  <c r="AQ89" i="12"/>
  <c r="BC89" s="1"/>
  <c r="BK89" s="1"/>
  <c r="AT89"/>
  <c r="BD89" s="1"/>
  <c r="BL89" s="1"/>
  <c r="AK89"/>
  <c r="BA89" s="1"/>
  <c r="BI89" s="1"/>
  <c r="AN89"/>
  <c r="BB89" s="1"/>
  <c r="BJ89" s="1"/>
  <c r="AE89"/>
  <c r="AY89" s="1"/>
  <c r="BG89" s="1"/>
  <c r="AH89"/>
  <c r="AZ89" s="1"/>
  <c r="BH89" s="1"/>
  <c r="AF89" i="10"/>
  <c r="AG89" s="1"/>
  <c r="AH89" s="1"/>
  <c r="Y106"/>
  <c r="Z90"/>
  <c r="AA90" s="1"/>
  <c r="AW90" i="12" s="1"/>
  <c r="BE90" s="1"/>
  <c r="BM90" s="1"/>
  <c r="O107" i="10"/>
  <c r="K107"/>
  <c r="J107"/>
  <c r="H107"/>
  <c r="G107"/>
  <c r="L107"/>
  <c r="C106"/>
  <c r="D105"/>
  <c r="E105" s="1"/>
  <c r="I107"/>
  <c r="O104"/>
  <c r="N104"/>
  <c r="M104"/>
  <c r="X107"/>
  <c r="P103"/>
  <c r="Q103" s="1"/>
  <c r="B108"/>
  <c r="AJ107" i="12" l="1"/>
  <c r="AV107"/>
  <c r="AM107"/>
  <c r="AG107"/>
  <c r="AD107"/>
  <c r="AS107"/>
  <c r="AN103" i="10"/>
  <c r="AM103"/>
  <c r="I65" i="13"/>
  <c r="I63"/>
  <c r="AL103" i="12"/>
  <c r="AO103"/>
  <c r="AU103"/>
  <c r="AI103"/>
  <c r="AR103"/>
  <c r="AF103"/>
  <c r="AC103"/>
  <c r="AO103" i="10"/>
  <c r="F91" i="12"/>
  <c r="H91"/>
  <c r="J91"/>
  <c r="E91"/>
  <c r="K91"/>
  <c r="I91"/>
  <c r="G91"/>
  <c r="I44" i="13"/>
  <c r="AJ89" i="10"/>
  <c r="AX89"/>
  <c r="AH88"/>
  <c r="I45" i="13"/>
  <c r="AX108" i="10"/>
  <c r="T108"/>
  <c r="V108" s="1"/>
  <c r="B108" i="12"/>
  <c r="AP108" s="1"/>
  <c r="AQ103" i="10"/>
  <c r="AQ90" i="12"/>
  <c r="BC90" s="1"/>
  <c r="BK90" s="1"/>
  <c r="AT90"/>
  <c r="BD90" s="1"/>
  <c r="BL90" s="1"/>
  <c r="AK90"/>
  <c r="BA90" s="1"/>
  <c r="BI90" s="1"/>
  <c r="AN90"/>
  <c r="BB90" s="1"/>
  <c r="BJ90" s="1"/>
  <c r="AE90"/>
  <c r="AY90" s="1"/>
  <c r="BG90" s="1"/>
  <c r="AH90"/>
  <c r="AZ90" s="1"/>
  <c r="BH90" s="1"/>
  <c r="AF90" i="10"/>
  <c r="AG90" s="1"/>
  <c r="AH90" s="1"/>
  <c r="AJ90" s="1"/>
  <c r="Y107"/>
  <c r="Z91"/>
  <c r="AA91" s="1"/>
  <c r="AW91" i="12" s="1"/>
  <c r="BE91" s="1"/>
  <c r="BM91" s="1"/>
  <c r="L108" i="10"/>
  <c r="O108"/>
  <c r="K108"/>
  <c r="J108"/>
  <c r="H108"/>
  <c r="G108"/>
  <c r="D106"/>
  <c r="E106" s="1"/>
  <c r="C107"/>
  <c r="I108"/>
  <c r="N105"/>
  <c r="M105"/>
  <c r="X108"/>
  <c r="P104"/>
  <c r="Q104" s="1"/>
  <c r="B109"/>
  <c r="AS108" i="12" l="1"/>
  <c r="AG108"/>
  <c r="AV108"/>
  <c r="AD108"/>
  <c r="AM108"/>
  <c r="AJ108"/>
  <c r="AN104" i="10"/>
  <c r="AM104"/>
  <c r="AL104" i="12"/>
  <c r="AO104"/>
  <c r="AU104"/>
  <c r="AR104"/>
  <c r="AI104"/>
  <c r="AF104"/>
  <c r="AC104"/>
  <c r="AO104" i="10"/>
  <c r="E92" i="12"/>
  <c r="G92"/>
  <c r="I92"/>
  <c r="J92"/>
  <c r="K92"/>
  <c r="H92"/>
  <c r="F92"/>
  <c r="AJ88" i="10"/>
  <c r="I47" i="13"/>
  <c r="AX109" i="10"/>
  <c r="T109"/>
  <c r="V109" s="1"/>
  <c r="B109" i="12"/>
  <c r="AP109" s="1"/>
  <c r="AQ104" i="10"/>
  <c r="AQ91" i="12"/>
  <c r="BC91" s="1"/>
  <c r="BK91" s="1"/>
  <c r="AT91"/>
  <c r="BD91" s="1"/>
  <c r="BL91" s="1"/>
  <c r="AK91"/>
  <c r="BA91" s="1"/>
  <c r="BI91" s="1"/>
  <c r="AN91"/>
  <c r="BB91" s="1"/>
  <c r="BJ91" s="1"/>
  <c r="AE91"/>
  <c r="AY91" s="1"/>
  <c r="BG91" s="1"/>
  <c r="AH91"/>
  <c r="AZ91" s="1"/>
  <c r="BH91" s="1"/>
  <c r="AF91" i="10"/>
  <c r="AG91" s="1"/>
  <c r="AH91" s="1"/>
  <c r="AJ91" s="1"/>
  <c r="Y108"/>
  <c r="Z92"/>
  <c r="AA92" s="1"/>
  <c r="AW92" i="12" s="1"/>
  <c r="BE92" s="1"/>
  <c r="BM92" s="1"/>
  <c r="O109" i="10"/>
  <c r="K109"/>
  <c r="J109"/>
  <c r="H109"/>
  <c r="G109"/>
  <c r="D107"/>
  <c r="E107" s="1"/>
  <c r="C108"/>
  <c r="L109"/>
  <c r="I109"/>
  <c r="N106"/>
  <c r="M106"/>
  <c r="X109"/>
  <c r="P105"/>
  <c r="Q105" s="1"/>
  <c r="B110"/>
  <c r="AJ109" i="12" l="1"/>
  <c r="AD109"/>
  <c r="AG109"/>
  <c r="AM109"/>
  <c r="AV109"/>
  <c r="AS109"/>
  <c r="AM105" i="10"/>
  <c r="AN105"/>
  <c r="AL105" i="12"/>
  <c r="AO105"/>
  <c r="AU105"/>
  <c r="AI105"/>
  <c r="AR105"/>
  <c r="AF105"/>
  <c r="AC105"/>
  <c r="AO105" i="10"/>
  <c r="H93" i="12"/>
  <c r="F93"/>
  <c r="J93"/>
  <c r="K93"/>
  <c r="G93"/>
  <c r="E93"/>
  <c r="I93"/>
  <c r="I52" i="13"/>
  <c r="AX110" i="10"/>
  <c r="T110"/>
  <c r="V110" s="1"/>
  <c r="B110" i="12"/>
  <c r="AP110" s="1"/>
  <c r="AQ105" i="10"/>
  <c r="AQ92" i="12"/>
  <c r="BC92" s="1"/>
  <c r="BK92" s="1"/>
  <c r="AT92"/>
  <c r="BD92" s="1"/>
  <c r="BL92" s="1"/>
  <c r="AK92"/>
  <c r="BA92" s="1"/>
  <c r="BI92" s="1"/>
  <c r="AN92"/>
  <c r="BB92" s="1"/>
  <c r="BJ92" s="1"/>
  <c r="AE92"/>
  <c r="AY92" s="1"/>
  <c r="BG92" s="1"/>
  <c r="AH92"/>
  <c r="AZ92" s="1"/>
  <c r="BH92" s="1"/>
  <c r="AF92" i="10"/>
  <c r="AG92" s="1"/>
  <c r="AH92" s="1"/>
  <c r="AJ92" s="1"/>
  <c r="Y109"/>
  <c r="Z93"/>
  <c r="AA93" s="1"/>
  <c r="AW93" i="12" s="1"/>
  <c r="BE93" s="1"/>
  <c r="BM93" s="1"/>
  <c r="O110" i="10"/>
  <c r="K110"/>
  <c r="J110"/>
  <c r="H110"/>
  <c r="G110"/>
  <c r="L110"/>
  <c r="D108"/>
  <c r="E108" s="1"/>
  <c r="C109"/>
  <c r="I110"/>
  <c r="N107"/>
  <c r="M107"/>
  <c r="X110"/>
  <c r="P106"/>
  <c r="Q106" s="1"/>
  <c r="B111"/>
  <c r="AS110" i="12" l="1"/>
  <c r="AM110"/>
  <c r="AD110"/>
  <c r="AV110"/>
  <c r="AG110"/>
  <c r="AJ110"/>
  <c r="AN106" i="10"/>
  <c r="AM106"/>
  <c r="AL106" i="12"/>
  <c r="AO106"/>
  <c r="AI106"/>
  <c r="AU106"/>
  <c r="AR106"/>
  <c r="AF106"/>
  <c r="AC106"/>
  <c r="AO106" i="10"/>
  <c r="G94" i="12"/>
  <c r="J94"/>
  <c r="E94"/>
  <c r="F94"/>
  <c r="K94"/>
  <c r="H94"/>
  <c r="I94"/>
  <c r="AX111" i="10"/>
  <c r="T111"/>
  <c r="V111" s="1"/>
  <c r="B111" i="12"/>
  <c r="AP111" s="1"/>
  <c r="AQ106" i="10"/>
  <c r="AQ93" i="12"/>
  <c r="BC93" s="1"/>
  <c r="BK93" s="1"/>
  <c r="AT93"/>
  <c r="BD93" s="1"/>
  <c r="BL93" s="1"/>
  <c r="AK93"/>
  <c r="BA93" s="1"/>
  <c r="BI93" s="1"/>
  <c r="AN93"/>
  <c r="BB93" s="1"/>
  <c r="BJ93" s="1"/>
  <c r="AE93"/>
  <c r="AY93" s="1"/>
  <c r="BG93" s="1"/>
  <c r="AH93"/>
  <c r="AZ93" s="1"/>
  <c r="BH93" s="1"/>
  <c r="AF93" i="10"/>
  <c r="AG93" s="1"/>
  <c r="AH93" s="1"/>
  <c r="AJ93" s="1"/>
  <c r="Y110"/>
  <c r="Z94"/>
  <c r="AA94" s="1"/>
  <c r="AW94" i="12" s="1"/>
  <c r="BE94" s="1"/>
  <c r="BM94" s="1"/>
  <c r="D109" i="10"/>
  <c r="E109" s="1"/>
  <c r="C110"/>
  <c r="L111"/>
  <c r="O111"/>
  <c r="K111"/>
  <c r="J111"/>
  <c r="H111"/>
  <c r="G111"/>
  <c r="I111"/>
  <c r="N108"/>
  <c r="M108"/>
  <c r="X111"/>
  <c r="P107"/>
  <c r="Q107" s="1"/>
  <c r="B112"/>
  <c r="AJ111" i="12" l="1"/>
  <c r="AV111"/>
  <c r="AM111"/>
  <c r="AG111"/>
  <c r="AD111"/>
  <c r="AS111"/>
  <c r="AM107" i="10"/>
  <c r="AN107"/>
  <c r="AL107" i="12"/>
  <c r="AO107"/>
  <c r="AU107"/>
  <c r="AI107"/>
  <c r="AR107"/>
  <c r="AF107"/>
  <c r="AC107"/>
  <c r="AO107" i="10"/>
  <c r="H95" i="12"/>
  <c r="G95"/>
  <c r="E95"/>
  <c r="I95"/>
  <c r="K95"/>
  <c r="J95"/>
  <c r="F95"/>
  <c r="AX112" i="10"/>
  <c r="B112" i="12"/>
  <c r="AP112" s="1"/>
  <c r="AQ107" i="10"/>
  <c r="AQ94" i="12"/>
  <c r="BC94" s="1"/>
  <c r="BK94" s="1"/>
  <c r="AT94"/>
  <c r="BD94" s="1"/>
  <c r="BL94" s="1"/>
  <c r="AK94"/>
  <c r="BA94" s="1"/>
  <c r="BI94" s="1"/>
  <c r="AN94"/>
  <c r="BB94" s="1"/>
  <c r="BJ94" s="1"/>
  <c r="AE94"/>
  <c r="AY94" s="1"/>
  <c r="BG94" s="1"/>
  <c r="AH94"/>
  <c r="AZ94" s="1"/>
  <c r="BH94" s="1"/>
  <c r="AF94" i="10"/>
  <c r="AG94" s="1"/>
  <c r="AH94" s="1"/>
  <c r="AJ94" s="1"/>
  <c r="Y111"/>
  <c r="Z95"/>
  <c r="AA95" s="1"/>
  <c r="AW95" i="12" s="1"/>
  <c r="BE95" s="1"/>
  <c r="BM95" s="1"/>
  <c r="O112" i="10"/>
  <c r="K112"/>
  <c r="J112"/>
  <c r="H112"/>
  <c r="G112"/>
  <c r="L112"/>
  <c r="D110"/>
  <c r="E110" s="1"/>
  <c r="C111"/>
  <c r="I112"/>
  <c r="N109"/>
  <c r="M109"/>
  <c r="X112"/>
  <c r="P108"/>
  <c r="Q108" s="1"/>
  <c r="B113"/>
  <c r="AS112" i="12" l="1"/>
  <c r="AG112"/>
  <c r="AV112"/>
  <c r="AD112"/>
  <c r="AM112"/>
  <c r="AJ112"/>
  <c r="AN108" i="10"/>
  <c r="AM108"/>
  <c r="AL108" i="12"/>
  <c r="AO108"/>
  <c r="AU108"/>
  <c r="AR108"/>
  <c r="AI108"/>
  <c r="AF108"/>
  <c r="AC108"/>
  <c r="AO108" i="10"/>
  <c r="F96" i="12"/>
  <c r="G96"/>
  <c r="I96"/>
  <c r="E96"/>
  <c r="J96"/>
  <c r="H96"/>
  <c r="K96"/>
  <c r="K14" i="13"/>
  <c r="K13"/>
  <c r="K16"/>
  <c r="K33"/>
  <c r="K17"/>
  <c r="K12"/>
  <c r="K15"/>
  <c r="K20"/>
  <c r="T112" i="10"/>
  <c r="K26" i="13"/>
  <c r="AX113" i="10"/>
  <c r="B113" i="12"/>
  <c r="AP113" s="1"/>
  <c r="AQ108" i="10"/>
  <c r="AQ95" i="12"/>
  <c r="BC95" s="1"/>
  <c r="BK95" s="1"/>
  <c r="AT95"/>
  <c r="BD95" s="1"/>
  <c r="BL95" s="1"/>
  <c r="AK95"/>
  <c r="BA95" s="1"/>
  <c r="BI95" s="1"/>
  <c r="AN95"/>
  <c r="BB95" s="1"/>
  <c r="BJ95" s="1"/>
  <c r="AE95"/>
  <c r="AY95" s="1"/>
  <c r="BG95" s="1"/>
  <c r="AH95"/>
  <c r="AZ95" s="1"/>
  <c r="BH95" s="1"/>
  <c r="AF95" i="10"/>
  <c r="AG95" s="1"/>
  <c r="AH95" s="1"/>
  <c r="AJ95" s="1"/>
  <c r="Y112"/>
  <c r="Z96"/>
  <c r="AA96" s="1"/>
  <c r="AW96" i="12" s="1"/>
  <c r="BE96" s="1"/>
  <c r="BM96" s="1"/>
  <c r="C112" i="10"/>
  <c r="D111"/>
  <c r="E111" s="1"/>
  <c r="L113"/>
  <c r="O113"/>
  <c r="K113"/>
  <c r="J113"/>
  <c r="H113"/>
  <c r="G113"/>
  <c r="I113"/>
  <c r="N110"/>
  <c r="M110"/>
  <c r="X113"/>
  <c r="P109"/>
  <c r="Q109" s="1"/>
  <c r="B114"/>
  <c r="AJ113" i="12" l="1"/>
  <c r="AD113"/>
  <c r="AG113"/>
  <c r="AM113"/>
  <c r="AV113"/>
  <c r="AS113"/>
  <c r="AN109" i="10"/>
  <c r="AM109"/>
  <c r="AL109" i="12"/>
  <c r="AO109"/>
  <c r="AU109"/>
  <c r="AI109"/>
  <c r="AR109"/>
  <c r="AF109"/>
  <c r="AC109"/>
  <c r="AO109" i="10"/>
  <c r="H97" i="12"/>
  <c r="F97"/>
  <c r="I97"/>
  <c r="G97"/>
  <c r="J97"/>
  <c r="E97"/>
  <c r="K97"/>
  <c r="V112" i="10"/>
  <c r="K27" i="13"/>
  <c r="K28" s="1"/>
  <c r="K6"/>
  <c r="K34"/>
  <c r="T113" i="10"/>
  <c r="AX114"/>
  <c r="T114"/>
  <c r="B114" i="12"/>
  <c r="AP114" s="1"/>
  <c r="AQ109" i="10"/>
  <c r="AQ96" i="12"/>
  <c r="BC96" s="1"/>
  <c r="BK96" s="1"/>
  <c r="AT96"/>
  <c r="BD96" s="1"/>
  <c r="BL96" s="1"/>
  <c r="AK96"/>
  <c r="BA96" s="1"/>
  <c r="BI96" s="1"/>
  <c r="AN96"/>
  <c r="BB96" s="1"/>
  <c r="BJ96" s="1"/>
  <c r="AE96"/>
  <c r="AY96" s="1"/>
  <c r="BG96" s="1"/>
  <c r="AH96"/>
  <c r="AZ96" s="1"/>
  <c r="BH96" s="1"/>
  <c r="AF96" i="10"/>
  <c r="AG96" s="1"/>
  <c r="AH96" s="1"/>
  <c r="AJ96" s="1"/>
  <c r="Y113"/>
  <c r="Z97"/>
  <c r="AA97" s="1"/>
  <c r="AW97" i="12" s="1"/>
  <c r="BE97" s="1"/>
  <c r="BM97" s="1"/>
  <c r="D112" i="10"/>
  <c r="C113"/>
  <c r="L114"/>
  <c r="K114"/>
  <c r="J114"/>
  <c r="H114"/>
  <c r="G114"/>
  <c r="I114"/>
  <c r="N111"/>
  <c r="M111"/>
  <c r="X114"/>
  <c r="P110"/>
  <c r="Q110" s="1"/>
  <c r="B115"/>
  <c r="AS114" i="12" l="1"/>
  <c r="AM114"/>
  <c r="AD114"/>
  <c r="AV114"/>
  <c r="AG114"/>
  <c r="AJ114"/>
  <c r="AM110" i="10"/>
  <c r="AN110"/>
  <c r="AL110" i="12"/>
  <c r="AO110"/>
  <c r="AI110"/>
  <c r="AU110"/>
  <c r="AR110"/>
  <c r="AF110"/>
  <c r="AC110"/>
  <c r="AO110" i="10"/>
  <c r="K98" i="12"/>
  <c r="J98"/>
  <c r="G98"/>
  <c r="E98"/>
  <c r="I98"/>
  <c r="H98"/>
  <c r="F98"/>
  <c r="E112" i="10"/>
  <c r="K7" i="13"/>
  <c r="K9" s="1"/>
  <c r="K30"/>
  <c r="V113" i="10"/>
  <c r="V114" s="1"/>
  <c r="AX115"/>
  <c r="T115"/>
  <c r="B115" i="12"/>
  <c r="AP115" s="1"/>
  <c r="M2" i="13"/>
  <c r="AQ110" i="10"/>
  <c r="AQ97" i="12"/>
  <c r="BC97" s="1"/>
  <c r="BK97" s="1"/>
  <c r="AT97"/>
  <c r="BD97" s="1"/>
  <c r="BL97" s="1"/>
  <c r="AK97"/>
  <c r="BA97" s="1"/>
  <c r="BI97" s="1"/>
  <c r="AN97"/>
  <c r="BB97" s="1"/>
  <c r="BJ97" s="1"/>
  <c r="AE97"/>
  <c r="AY97" s="1"/>
  <c r="BG97" s="1"/>
  <c r="AH97"/>
  <c r="AZ97" s="1"/>
  <c r="BH97" s="1"/>
  <c r="AF97" i="10"/>
  <c r="AG97" s="1"/>
  <c r="AH97" s="1"/>
  <c r="AJ97" s="1"/>
  <c r="Y114"/>
  <c r="Z98"/>
  <c r="AA98" s="1"/>
  <c r="AW98" i="12" s="1"/>
  <c r="BE98" s="1"/>
  <c r="BM98" s="1"/>
  <c r="O115" i="10"/>
  <c r="K115"/>
  <c r="J115"/>
  <c r="H115"/>
  <c r="G115"/>
  <c r="I115"/>
  <c r="L115"/>
  <c r="D113"/>
  <c r="C114"/>
  <c r="N112"/>
  <c r="M112"/>
  <c r="X115"/>
  <c r="P111"/>
  <c r="Q111" s="1"/>
  <c r="B116"/>
  <c r="AJ115" i="12" l="1"/>
  <c r="AV115"/>
  <c r="AM115"/>
  <c r="AG115"/>
  <c r="AD115"/>
  <c r="AS115"/>
  <c r="AN111" i="10"/>
  <c r="AM111"/>
  <c r="AL111" i="12"/>
  <c r="AO111"/>
  <c r="AU111"/>
  <c r="AI111"/>
  <c r="AR111"/>
  <c r="AF111"/>
  <c r="AC111"/>
  <c r="AO111" i="10"/>
  <c r="V115"/>
  <c r="I99" i="12"/>
  <c r="E99"/>
  <c r="H99"/>
  <c r="F99"/>
  <c r="G99"/>
  <c r="K99"/>
  <c r="J99"/>
  <c r="K18" i="13"/>
  <c r="K19"/>
  <c r="E113" i="10"/>
  <c r="AX116"/>
  <c r="T116"/>
  <c r="B116" i="12"/>
  <c r="AP116" s="1"/>
  <c r="AQ111" i="10"/>
  <c r="AQ98" i="12"/>
  <c r="BC98" s="1"/>
  <c r="BK98" s="1"/>
  <c r="AT98"/>
  <c r="BD98" s="1"/>
  <c r="BL98" s="1"/>
  <c r="AK98"/>
  <c r="BA98" s="1"/>
  <c r="BI98" s="1"/>
  <c r="AN98"/>
  <c r="BB98" s="1"/>
  <c r="BJ98" s="1"/>
  <c r="AE98"/>
  <c r="AY98" s="1"/>
  <c r="BG98" s="1"/>
  <c r="AH98"/>
  <c r="AZ98" s="1"/>
  <c r="BH98" s="1"/>
  <c r="AF98" i="10"/>
  <c r="AG98" s="1"/>
  <c r="AH98" s="1"/>
  <c r="AJ98" s="1"/>
  <c r="Y115"/>
  <c r="Z99"/>
  <c r="AA99" s="1"/>
  <c r="AW99" i="12" s="1"/>
  <c r="BE99" s="1"/>
  <c r="BM99" s="1"/>
  <c r="I116" i="10"/>
  <c r="K116"/>
  <c r="J116"/>
  <c r="H116"/>
  <c r="G116"/>
  <c r="C115"/>
  <c r="D114"/>
  <c r="E114" s="1"/>
  <c r="O114" s="1"/>
  <c r="L116"/>
  <c r="N113"/>
  <c r="M113"/>
  <c r="X116"/>
  <c r="P112"/>
  <c r="Q112" s="1"/>
  <c r="B117"/>
  <c r="AS116" i="12" l="1"/>
  <c r="AG116"/>
  <c r="AV116"/>
  <c r="AD116"/>
  <c r="AM116"/>
  <c r="AJ116"/>
  <c r="AN112" i="10"/>
  <c r="AM112"/>
  <c r="V116"/>
  <c r="AL112" i="12"/>
  <c r="K32" i="14" s="1"/>
  <c r="AO112" i="12"/>
  <c r="AU112"/>
  <c r="K38" i="14" s="1"/>
  <c r="AR112" i="12"/>
  <c r="K36" i="14" s="1"/>
  <c r="AI112" i="12"/>
  <c r="K30" i="14" s="1"/>
  <c r="AF112" i="12"/>
  <c r="K28" i="14" s="1"/>
  <c r="AC112" i="12"/>
  <c r="K26" i="14" s="1"/>
  <c r="AO112" i="10"/>
  <c r="H100" i="12"/>
  <c r="E100"/>
  <c r="J100"/>
  <c r="I100"/>
  <c r="G100"/>
  <c r="F100"/>
  <c r="K100"/>
  <c r="K21" i="13"/>
  <c r="K23" s="1"/>
  <c r="AX117" i="10"/>
  <c r="T117"/>
  <c r="V117" s="1"/>
  <c r="B117" i="12"/>
  <c r="AP117" s="1"/>
  <c r="K34" i="14"/>
  <c r="AQ112" i="10"/>
  <c r="AQ99" i="12"/>
  <c r="BC99" s="1"/>
  <c r="BK99" s="1"/>
  <c r="AT99"/>
  <c r="BD99" s="1"/>
  <c r="BL99" s="1"/>
  <c r="AK99"/>
  <c r="BA99" s="1"/>
  <c r="BI99" s="1"/>
  <c r="AN99"/>
  <c r="BB99" s="1"/>
  <c r="BJ99" s="1"/>
  <c r="AE99"/>
  <c r="AY99" s="1"/>
  <c r="BG99" s="1"/>
  <c r="AH99"/>
  <c r="AZ99" s="1"/>
  <c r="BH99" s="1"/>
  <c r="AF99" i="10"/>
  <c r="AG99" s="1"/>
  <c r="AH99" s="1"/>
  <c r="AJ99" s="1"/>
  <c r="Y116"/>
  <c r="Z100"/>
  <c r="O117"/>
  <c r="K117"/>
  <c r="J117"/>
  <c r="H117"/>
  <c r="G117"/>
  <c r="D115"/>
  <c r="E115" s="1"/>
  <c r="C116"/>
  <c r="L117"/>
  <c r="I117"/>
  <c r="N114"/>
  <c r="M114"/>
  <c r="X117"/>
  <c r="P113"/>
  <c r="Q113" s="1"/>
  <c r="B118"/>
  <c r="AJ117" i="12" l="1"/>
  <c r="AD117"/>
  <c r="AG117"/>
  <c r="AM117"/>
  <c r="AV117"/>
  <c r="AS117"/>
  <c r="K57" i="13"/>
  <c r="K56"/>
  <c r="K55"/>
  <c r="AN113" i="10"/>
  <c r="AM113"/>
  <c r="AL113" i="12"/>
  <c r="AO113"/>
  <c r="AU113"/>
  <c r="AI113"/>
  <c r="AR113"/>
  <c r="AF113"/>
  <c r="AC113"/>
  <c r="AO113" i="10"/>
  <c r="E101" i="12"/>
  <c r="K101"/>
  <c r="G101"/>
  <c r="H101"/>
  <c r="F101"/>
  <c r="J101"/>
  <c r="I101"/>
  <c r="J14" i="14"/>
  <c r="J22" s="1"/>
  <c r="J12"/>
  <c r="J20" s="1"/>
  <c r="J10"/>
  <c r="J18" s="1"/>
  <c r="J8"/>
  <c r="J16" s="1"/>
  <c r="J13"/>
  <c r="J21" s="1"/>
  <c r="J11"/>
  <c r="J19" s="1"/>
  <c r="J9"/>
  <c r="J17" s="1"/>
  <c r="AA100" i="10"/>
  <c r="AT100" i="12" s="1"/>
  <c r="BD100" s="1"/>
  <c r="BL100" s="1"/>
  <c r="J35" i="13"/>
  <c r="K60"/>
  <c r="K6" i="14" s="1"/>
  <c r="AX118" i="10"/>
  <c r="T118"/>
  <c r="V118" s="1"/>
  <c r="B118" i="12"/>
  <c r="AP118" s="1"/>
  <c r="AQ113" i="10"/>
  <c r="Y117"/>
  <c r="Z101"/>
  <c r="AA101" s="1"/>
  <c r="AW101" i="12" s="1"/>
  <c r="BE101" s="1"/>
  <c r="BM101" s="1"/>
  <c r="O118" i="10"/>
  <c r="K118"/>
  <c r="J118"/>
  <c r="H118"/>
  <c r="G118"/>
  <c r="L118"/>
  <c r="D116"/>
  <c r="E116" s="1"/>
  <c r="C117"/>
  <c r="I118"/>
  <c r="N115"/>
  <c r="M115"/>
  <c r="X118"/>
  <c r="P114"/>
  <c r="Q114" s="1"/>
  <c r="B119"/>
  <c r="AS118" i="12" l="1"/>
  <c r="AM118"/>
  <c r="AD118"/>
  <c r="AV118"/>
  <c r="AG118"/>
  <c r="AJ118"/>
  <c r="AM114" i="10"/>
  <c r="AN114"/>
  <c r="AL114" i="12"/>
  <c r="AO114"/>
  <c r="AI114"/>
  <c r="AU114"/>
  <c r="AR114"/>
  <c r="AF114"/>
  <c r="AC114"/>
  <c r="AO114" i="10"/>
  <c r="H102" i="12"/>
  <c r="J102"/>
  <c r="I102"/>
  <c r="E102"/>
  <c r="K102"/>
  <c r="F102"/>
  <c r="G102"/>
  <c r="AQ100"/>
  <c r="BC100" s="1"/>
  <c r="BK100" s="1"/>
  <c r="AW100"/>
  <c r="BE100" s="1"/>
  <c r="BM100" s="1"/>
  <c r="AE100"/>
  <c r="AY100" s="1"/>
  <c r="BG100" s="1"/>
  <c r="AF100" i="10"/>
  <c r="AG100" s="1"/>
  <c r="AK100" i="12"/>
  <c r="BA100" s="1"/>
  <c r="BI100" s="1"/>
  <c r="AH100"/>
  <c r="AZ100" s="1"/>
  <c r="BH100" s="1"/>
  <c r="AN100"/>
  <c r="BB100" s="1"/>
  <c r="BJ100" s="1"/>
  <c r="J36" i="13"/>
  <c r="J39" i="14" s="1"/>
  <c r="J47" s="1"/>
  <c r="K62" i="13"/>
  <c r="J44"/>
  <c r="AX119" i="10"/>
  <c r="T119"/>
  <c r="V119" s="1"/>
  <c r="B119" i="12"/>
  <c r="AP119" s="1"/>
  <c r="AQ114" i="10"/>
  <c r="AQ101" i="12"/>
  <c r="BC101" s="1"/>
  <c r="BK101" s="1"/>
  <c r="AT101"/>
  <c r="BD101" s="1"/>
  <c r="BL101" s="1"/>
  <c r="AK101"/>
  <c r="BA101" s="1"/>
  <c r="BI101" s="1"/>
  <c r="AN101"/>
  <c r="BB101" s="1"/>
  <c r="BJ101" s="1"/>
  <c r="AE101"/>
  <c r="AY101" s="1"/>
  <c r="BG101" s="1"/>
  <c r="AH101"/>
  <c r="AZ101" s="1"/>
  <c r="BH101" s="1"/>
  <c r="AF101" i="10"/>
  <c r="AG101" s="1"/>
  <c r="AH101" s="1"/>
  <c r="AJ101" s="1"/>
  <c r="Y118"/>
  <c r="Z102"/>
  <c r="AA102" s="1"/>
  <c r="AW102" i="12" s="1"/>
  <c r="BE102" s="1"/>
  <c r="BM102" s="1"/>
  <c r="D117" i="10"/>
  <c r="E117" s="1"/>
  <c r="C118"/>
  <c r="L119"/>
  <c r="O119"/>
  <c r="K119"/>
  <c r="J119"/>
  <c r="H119"/>
  <c r="G119"/>
  <c r="I119"/>
  <c r="O116"/>
  <c r="N116"/>
  <c r="M116"/>
  <c r="X119"/>
  <c r="P115"/>
  <c r="Q115" s="1"/>
  <c r="B120"/>
  <c r="AJ119" i="12" l="1"/>
  <c r="AV119"/>
  <c r="AM119"/>
  <c r="AG119"/>
  <c r="AD119"/>
  <c r="AS119"/>
  <c r="AM115" i="10"/>
  <c r="AN115"/>
  <c r="AL115" i="12"/>
  <c r="AO115"/>
  <c r="AU115"/>
  <c r="AI115"/>
  <c r="AR115"/>
  <c r="AF115"/>
  <c r="AC115"/>
  <c r="AO115" i="10"/>
  <c r="G103" i="12"/>
  <c r="F103"/>
  <c r="K103"/>
  <c r="H103"/>
  <c r="I103"/>
  <c r="J103"/>
  <c r="E103"/>
  <c r="J37" i="14"/>
  <c r="J46" s="1"/>
  <c r="J35"/>
  <c r="J45" s="1"/>
  <c r="J33"/>
  <c r="J44" s="1"/>
  <c r="J31"/>
  <c r="J43" s="1"/>
  <c r="J29"/>
  <c r="J42" s="1"/>
  <c r="J27"/>
  <c r="J41" s="1"/>
  <c r="J61" i="13"/>
  <c r="AH100" i="10"/>
  <c r="J45" i="13"/>
  <c r="AX120" i="10"/>
  <c r="T120"/>
  <c r="V120" s="1"/>
  <c r="B120" i="12"/>
  <c r="AP120" s="1"/>
  <c r="AQ115" i="10"/>
  <c r="AQ102" i="12"/>
  <c r="BC102" s="1"/>
  <c r="BK102" s="1"/>
  <c r="AT102"/>
  <c r="BD102" s="1"/>
  <c r="BL102" s="1"/>
  <c r="AK102"/>
  <c r="BA102" s="1"/>
  <c r="BI102" s="1"/>
  <c r="AN102"/>
  <c r="BB102" s="1"/>
  <c r="BJ102" s="1"/>
  <c r="AE102"/>
  <c r="AY102" s="1"/>
  <c r="BG102" s="1"/>
  <c r="AH102"/>
  <c r="AZ102" s="1"/>
  <c r="BH102" s="1"/>
  <c r="AF102" i="10"/>
  <c r="AG102" s="1"/>
  <c r="AH102" s="1"/>
  <c r="AJ102" s="1"/>
  <c r="Y119"/>
  <c r="Z103"/>
  <c r="AA103" s="1"/>
  <c r="AW103" i="12" s="1"/>
  <c r="BE103" s="1"/>
  <c r="BM103" s="1"/>
  <c r="L120" i="10"/>
  <c r="O120"/>
  <c r="K120"/>
  <c r="J120"/>
  <c r="H120"/>
  <c r="G120"/>
  <c r="D118"/>
  <c r="E118" s="1"/>
  <c r="C119"/>
  <c r="I120"/>
  <c r="N117"/>
  <c r="M117"/>
  <c r="X120"/>
  <c r="P116"/>
  <c r="Q116" s="1"/>
  <c r="B121"/>
  <c r="AS120" i="12" l="1"/>
  <c r="AG120"/>
  <c r="AV120"/>
  <c r="AD120"/>
  <c r="AM120"/>
  <c r="AJ120"/>
  <c r="AN116" i="10"/>
  <c r="AM116"/>
  <c r="J63" i="13"/>
  <c r="J65"/>
  <c r="AL116" i="12"/>
  <c r="AO116"/>
  <c r="AU116"/>
  <c r="AR116"/>
  <c r="AI116"/>
  <c r="AF116"/>
  <c r="AC116"/>
  <c r="AO116" i="10"/>
  <c r="H104" i="12"/>
  <c r="I104"/>
  <c r="F104"/>
  <c r="E104"/>
  <c r="K104"/>
  <c r="J104"/>
  <c r="G104"/>
  <c r="AJ100" i="10"/>
  <c r="J47" i="13"/>
  <c r="AX121" i="10"/>
  <c r="T121"/>
  <c r="V121" s="1"/>
  <c r="B121" i="12"/>
  <c r="AP121" s="1"/>
  <c r="AQ116" i="10"/>
  <c r="AQ103" i="12"/>
  <c r="BC103" s="1"/>
  <c r="BK103" s="1"/>
  <c r="AT103"/>
  <c r="BD103" s="1"/>
  <c r="BL103" s="1"/>
  <c r="AK103"/>
  <c r="BA103" s="1"/>
  <c r="BI103" s="1"/>
  <c r="AN103"/>
  <c r="BB103" s="1"/>
  <c r="BJ103" s="1"/>
  <c r="AE103"/>
  <c r="AY103" s="1"/>
  <c r="BG103" s="1"/>
  <c r="AH103"/>
  <c r="AZ103" s="1"/>
  <c r="BH103" s="1"/>
  <c r="AF103" i="10"/>
  <c r="AG103" s="1"/>
  <c r="AH103" s="1"/>
  <c r="AJ103" s="1"/>
  <c r="Y120"/>
  <c r="Z104"/>
  <c r="AA104" s="1"/>
  <c r="AW104" i="12" s="1"/>
  <c r="BE104" s="1"/>
  <c r="BM104" s="1"/>
  <c r="D119" i="10"/>
  <c r="E119" s="1"/>
  <c r="C120"/>
  <c r="L121"/>
  <c r="O121"/>
  <c r="K121"/>
  <c r="J121"/>
  <c r="H121"/>
  <c r="G121"/>
  <c r="I121"/>
  <c r="N118"/>
  <c r="M118"/>
  <c r="X121"/>
  <c r="P117"/>
  <c r="Q117" s="1"/>
  <c r="B122"/>
  <c r="AJ121" i="12" l="1"/>
  <c r="AD121"/>
  <c r="AG121"/>
  <c r="AM121"/>
  <c r="AV121"/>
  <c r="AS121"/>
  <c r="AM117" i="10"/>
  <c r="AN117"/>
  <c r="AL117" i="12"/>
  <c r="AO117"/>
  <c r="AU117"/>
  <c r="AI117"/>
  <c r="AR117"/>
  <c r="AF117"/>
  <c r="AC117"/>
  <c r="AO117" i="10"/>
  <c r="H105" i="12"/>
  <c r="E105"/>
  <c r="F105"/>
  <c r="K105"/>
  <c r="G105"/>
  <c r="J105"/>
  <c r="I105"/>
  <c r="J52" i="13"/>
  <c r="AX122" i="10"/>
  <c r="T122"/>
  <c r="V122" s="1"/>
  <c r="B122" i="12"/>
  <c r="AP122" s="1"/>
  <c r="AQ117" i="10"/>
  <c r="AQ104" i="12"/>
  <c r="BC104" s="1"/>
  <c r="BK104" s="1"/>
  <c r="AT104"/>
  <c r="BD104" s="1"/>
  <c r="BL104" s="1"/>
  <c r="AK104"/>
  <c r="BA104" s="1"/>
  <c r="BI104" s="1"/>
  <c r="AN104"/>
  <c r="BB104" s="1"/>
  <c r="BJ104" s="1"/>
  <c r="AE104"/>
  <c r="AY104" s="1"/>
  <c r="BG104" s="1"/>
  <c r="AH104"/>
  <c r="AZ104" s="1"/>
  <c r="BH104" s="1"/>
  <c r="AF104" i="10"/>
  <c r="AG104" s="1"/>
  <c r="AH104" s="1"/>
  <c r="AJ104" s="1"/>
  <c r="Y121"/>
  <c r="Z105"/>
  <c r="AA105" s="1"/>
  <c r="AW105" i="12" s="1"/>
  <c r="BE105" s="1"/>
  <c r="BM105" s="1"/>
  <c r="I122" i="10"/>
  <c r="L122"/>
  <c r="O122"/>
  <c r="K122"/>
  <c r="J122"/>
  <c r="H122"/>
  <c r="G122"/>
  <c r="D120"/>
  <c r="E120" s="1"/>
  <c r="C121"/>
  <c r="N119"/>
  <c r="M119"/>
  <c r="X122"/>
  <c r="P118"/>
  <c r="Q118" s="1"/>
  <c r="B123"/>
  <c r="AS122" i="12" l="1"/>
  <c r="AM122"/>
  <c r="AD122"/>
  <c r="AV122"/>
  <c r="AG122"/>
  <c r="AJ122"/>
  <c r="AM118" i="10"/>
  <c r="AN118"/>
  <c r="AL118" i="12"/>
  <c r="AO118"/>
  <c r="AI118"/>
  <c r="AU118"/>
  <c r="AR118"/>
  <c r="AF118"/>
  <c r="AC118"/>
  <c r="AO118" i="10"/>
  <c r="G106" i="12"/>
  <c r="E106"/>
  <c r="K106"/>
  <c r="F106"/>
  <c r="J106"/>
  <c r="I106"/>
  <c r="H106"/>
  <c r="AX123" i="10"/>
  <c r="T123"/>
  <c r="V123" s="1"/>
  <c r="B123" i="12"/>
  <c r="AP123" s="1"/>
  <c r="AQ118" i="10"/>
  <c r="AQ105" i="12"/>
  <c r="BC105" s="1"/>
  <c r="BK105" s="1"/>
  <c r="AT105"/>
  <c r="BD105" s="1"/>
  <c r="BL105" s="1"/>
  <c r="AK105"/>
  <c r="BA105" s="1"/>
  <c r="BI105" s="1"/>
  <c r="AN105"/>
  <c r="BB105" s="1"/>
  <c r="BJ105" s="1"/>
  <c r="AE105"/>
  <c r="AY105" s="1"/>
  <c r="BG105" s="1"/>
  <c r="AH105"/>
  <c r="AZ105" s="1"/>
  <c r="BH105" s="1"/>
  <c r="AF105" i="10"/>
  <c r="AG105" s="1"/>
  <c r="AH105" s="1"/>
  <c r="AJ105" s="1"/>
  <c r="Y122"/>
  <c r="Z106"/>
  <c r="AA106" s="1"/>
  <c r="AW106" i="12" s="1"/>
  <c r="BE106" s="1"/>
  <c r="BM106" s="1"/>
  <c r="O123" i="10"/>
  <c r="K123"/>
  <c r="J123"/>
  <c r="H123"/>
  <c r="G123"/>
  <c r="I123"/>
  <c r="C122"/>
  <c r="D121"/>
  <c r="E121" s="1"/>
  <c r="L123"/>
  <c r="N120"/>
  <c r="M120"/>
  <c r="X123"/>
  <c r="P119"/>
  <c r="Q119" s="1"/>
  <c r="B124"/>
  <c r="AJ123" i="12" l="1"/>
  <c r="AV123"/>
  <c r="AM123"/>
  <c r="AG123"/>
  <c r="AD123"/>
  <c r="AS123"/>
  <c r="AM119" i="10"/>
  <c r="AN119"/>
  <c r="AL119" i="12"/>
  <c r="AO119"/>
  <c r="AU119"/>
  <c r="AI119"/>
  <c r="AR119"/>
  <c r="AF119"/>
  <c r="AC119"/>
  <c r="AO119" i="10"/>
  <c r="H107" i="12"/>
  <c r="E107"/>
  <c r="J107"/>
  <c r="K107"/>
  <c r="I107"/>
  <c r="G107"/>
  <c r="F107"/>
  <c r="B124"/>
  <c r="AP124" s="1"/>
  <c r="AQ119" i="10"/>
  <c r="AQ106" i="12"/>
  <c r="BC106" s="1"/>
  <c r="BK106" s="1"/>
  <c r="AT106"/>
  <c r="BD106" s="1"/>
  <c r="BL106" s="1"/>
  <c r="AK106"/>
  <c r="BA106" s="1"/>
  <c r="BI106" s="1"/>
  <c r="AN106"/>
  <c r="BB106" s="1"/>
  <c r="BJ106" s="1"/>
  <c r="AE106"/>
  <c r="AY106" s="1"/>
  <c r="BG106" s="1"/>
  <c r="AH106"/>
  <c r="AZ106" s="1"/>
  <c r="BH106" s="1"/>
  <c r="AF106" i="10"/>
  <c r="AG106" s="1"/>
  <c r="AH106" s="1"/>
  <c r="AJ106" s="1"/>
  <c r="Y123"/>
  <c r="B125"/>
  <c r="K125" s="1"/>
  <c r="Z107"/>
  <c r="AA107" s="1"/>
  <c r="AW107" i="12" s="1"/>
  <c r="BE107" s="1"/>
  <c r="BM107" s="1"/>
  <c r="I124" i="10"/>
  <c r="O124"/>
  <c r="K124"/>
  <c r="J124"/>
  <c r="H124"/>
  <c r="G124"/>
  <c r="D122"/>
  <c r="E122" s="1"/>
  <c r="C123"/>
  <c r="L124"/>
  <c r="N121"/>
  <c r="M121"/>
  <c r="X124"/>
  <c r="P120"/>
  <c r="Q120" s="1"/>
  <c r="AS124" i="12" l="1"/>
  <c r="AG124"/>
  <c r="AV124"/>
  <c r="AD124"/>
  <c r="AM124"/>
  <c r="AJ124"/>
  <c r="AN120" i="10"/>
  <c r="AM120"/>
  <c r="AL120" i="12"/>
  <c r="AO120"/>
  <c r="AU120"/>
  <c r="AR120"/>
  <c r="AI120"/>
  <c r="AF120"/>
  <c r="AC120"/>
  <c r="AO120" i="10"/>
  <c r="J108" i="12"/>
  <c r="K108"/>
  <c r="F108"/>
  <c r="I108"/>
  <c r="G108"/>
  <c r="H108"/>
  <c r="E108"/>
  <c r="L17" i="13"/>
  <c r="L12"/>
  <c r="L15"/>
  <c r="L20"/>
  <c r="L33"/>
  <c r="L13"/>
  <c r="L16"/>
  <c r="L14"/>
  <c r="T124" i="10"/>
  <c r="L26" i="13"/>
  <c r="L125" i="10"/>
  <c r="I125"/>
  <c r="G125"/>
  <c r="O125"/>
  <c r="AQ120"/>
  <c r="AQ107" i="12"/>
  <c r="BC107" s="1"/>
  <c r="BK107" s="1"/>
  <c r="AT107"/>
  <c r="BD107" s="1"/>
  <c r="BL107" s="1"/>
  <c r="AK107"/>
  <c r="BA107" s="1"/>
  <c r="BI107" s="1"/>
  <c r="AN107"/>
  <c r="BB107" s="1"/>
  <c r="BJ107" s="1"/>
  <c r="AE107"/>
  <c r="AY107" s="1"/>
  <c r="BG107" s="1"/>
  <c r="AH107"/>
  <c r="AZ107" s="1"/>
  <c r="BH107" s="1"/>
  <c r="AF107" i="10"/>
  <c r="AG107" s="1"/>
  <c r="AH107" s="1"/>
  <c r="AJ107" s="1"/>
  <c r="B126"/>
  <c r="K126" s="1"/>
  <c r="J125"/>
  <c r="H125"/>
  <c r="Y124"/>
  <c r="L126"/>
  <c r="H126"/>
  <c r="J126"/>
  <c r="Z108"/>
  <c r="AA108" s="1"/>
  <c r="AW108" i="12" s="1"/>
  <c r="BE108" s="1"/>
  <c r="BM108" s="1"/>
  <c r="D123" i="10"/>
  <c r="E123" s="1"/>
  <c r="C124"/>
  <c r="N122"/>
  <c r="M122"/>
  <c r="P121"/>
  <c r="Q121" s="1"/>
  <c r="AN121" l="1"/>
  <c r="AM121"/>
  <c r="AL121" i="12"/>
  <c r="AO121"/>
  <c r="AU121"/>
  <c r="AI121"/>
  <c r="AR121"/>
  <c r="AF121"/>
  <c r="AC121"/>
  <c r="AO121" i="10"/>
  <c r="G109" i="12"/>
  <c r="H109"/>
  <c r="E109"/>
  <c r="F109"/>
  <c r="I109"/>
  <c r="J109"/>
  <c r="K109"/>
  <c r="G126" i="10"/>
  <c r="B127"/>
  <c r="L34" i="13"/>
  <c r="V124" i="10"/>
  <c r="L27" i="13"/>
  <c r="L28" s="1"/>
  <c r="L6"/>
  <c r="I126" i="10"/>
  <c r="L127"/>
  <c r="AQ121"/>
  <c r="AQ108" i="12"/>
  <c r="BC108" s="1"/>
  <c r="BK108" s="1"/>
  <c r="AT108"/>
  <c r="BD108" s="1"/>
  <c r="BL108" s="1"/>
  <c r="AK108"/>
  <c r="BA108" s="1"/>
  <c r="BI108" s="1"/>
  <c r="AN108"/>
  <c r="BB108" s="1"/>
  <c r="BJ108" s="1"/>
  <c r="AE108"/>
  <c r="AY108" s="1"/>
  <c r="BG108" s="1"/>
  <c r="AH108"/>
  <c r="AZ108" s="1"/>
  <c r="BH108" s="1"/>
  <c r="AF108" i="10"/>
  <c r="AG108" s="1"/>
  <c r="AH108" s="1"/>
  <c r="AJ108" s="1"/>
  <c r="B128"/>
  <c r="K127"/>
  <c r="H127"/>
  <c r="O127"/>
  <c r="J127"/>
  <c r="G127"/>
  <c r="L128"/>
  <c r="D124"/>
  <c r="C125"/>
  <c r="Z109"/>
  <c r="AA109" s="1"/>
  <c r="AW109" i="12" s="1"/>
  <c r="BE109" s="1"/>
  <c r="BM109" s="1"/>
  <c r="N123" i="10"/>
  <c r="M123"/>
  <c r="P122"/>
  <c r="Q122" s="1"/>
  <c r="AM122" l="1"/>
  <c r="AN122"/>
  <c r="AL122" i="12"/>
  <c r="AO122"/>
  <c r="AI122"/>
  <c r="AU122"/>
  <c r="AR122"/>
  <c r="AF122"/>
  <c r="AC122"/>
  <c r="AO122" i="10"/>
  <c r="J110" i="12"/>
  <c r="I110"/>
  <c r="G110"/>
  <c r="F110"/>
  <c r="K110"/>
  <c r="H110"/>
  <c r="E110"/>
  <c r="E124" i="10"/>
  <c r="N124" s="1"/>
  <c r="L7" i="13"/>
  <c r="L9" s="1"/>
  <c r="I127" i="10"/>
  <c r="L30" i="13"/>
  <c r="AQ122" i="10"/>
  <c r="AQ109" i="12"/>
  <c r="BC109" s="1"/>
  <c r="BK109" s="1"/>
  <c r="AT109"/>
  <c r="BD109" s="1"/>
  <c r="BL109" s="1"/>
  <c r="AK109"/>
  <c r="BA109" s="1"/>
  <c r="BI109" s="1"/>
  <c r="AN109"/>
  <c r="BB109" s="1"/>
  <c r="BJ109" s="1"/>
  <c r="AE109"/>
  <c r="AY109" s="1"/>
  <c r="BG109" s="1"/>
  <c r="AH109"/>
  <c r="AZ109" s="1"/>
  <c r="BH109" s="1"/>
  <c r="AF109" i="10"/>
  <c r="AG109" s="1"/>
  <c r="AH109" s="1"/>
  <c r="AJ109" s="1"/>
  <c r="M124"/>
  <c r="B129"/>
  <c r="K128"/>
  <c r="I128"/>
  <c r="I129" s="1"/>
  <c r="G128"/>
  <c r="O128"/>
  <c r="J128"/>
  <c r="H128"/>
  <c r="C126"/>
  <c r="D125"/>
  <c r="Z110"/>
  <c r="AA110" s="1"/>
  <c r="AW110" i="12" s="1"/>
  <c r="BE110" s="1"/>
  <c r="BM110" s="1"/>
  <c r="P123" i="10"/>
  <c r="Q123" s="1"/>
  <c r="P124"/>
  <c r="Q124" s="1"/>
  <c r="AM124" l="1"/>
  <c r="AN124"/>
  <c r="AN123"/>
  <c r="AM123"/>
  <c r="AL124" i="12"/>
  <c r="AO124"/>
  <c r="AU124"/>
  <c r="AR124"/>
  <c r="AI124"/>
  <c r="AF124"/>
  <c r="AC124"/>
  <c r="AO124" i="10"/>
  <c r="AL123" i="12"/>
  <c r="AO123"/>
  <c r="AU123"/>
  <c r="AI123"/>
  <c r="AR123"/>
  <c r="AF123"/>
  <c r="AC123"/>
  <c r="AO123" i="10"/>
  <c r="H112" i="12"/>
  <c r="G112"/>
  <c r="K112"/>
  <c r="F112"/>
  <c r="E112"/>
  <c r="J112"/>
  <c r="I112"/>
  <c r="G111"/>
  <c r="I111"/>
  <c r="E111"/>
  <c r="J111"/>
  <c r="F111"/>
  <c r="K111"/>
  <c r="H111"/>
  <c r="L18" i="13"/>
  <c r="L19"/>
  <c r="E125" i="10"/>
  <c r="L129"/>
  <c r="AQ124"/>
  <c r="AQ123"/>
  <c r="AQ110" i="12"/>
  <c r="BC110" s="1"/>
  <c r="BK110" s="1"/>
  <c r="AT110"/>
  <c r="BD110" s="1"/>
  <c r="BL110" s="1"/>
  <c r="AK110"/>
  <c r="BA110" s="1"/>
  <c r="BI110" s="1"/>
  <c r="AN110"/>
  <c r="BB110" s="1"/>
  <c r="BJ110" s="1"/>
  <c r="AE110"/>
  <c r="AY110" s="1"/>
  <c r="BG110" s="1"/>
  <c r="AH110"/>
  <c r="AZ110" s="1"/>
  <c r="BH110" s="1"/>
  <c r="AF110" i="10"/>
  <c r="AG110" s="1"/>
  <c r="AH110" s="1"/>
  <c r="AJ110" s="1"/>
  <c r="B130"/>
  <c r="O129"/>
  <c r="J129"/>
  <c r="G129"/>
  <c r="K129"/>
  <c r="H129"/>
  <c r="I130"/>
  <c r="Z111"/>
  <c r="AA111" s="1"/>
  <c r="AW111" i="12" s="1"/>
  <c r="BE111" s="1"/>
  <c r="BM111" s="1"/>
  <c r="Z112" i="10"/>
  <c r="N125"/>
  <c r="M125"/>
  <c r="C127"/>
  <c r="D126"/>
  <c r="E126" s="1"/>
  <c r="L26" i="14" l="1"/>
  <c r="L38"/>
  <c r="L34"/>
  <c r="L32"/>
  <c r="L28"/>
  <c r="L30"/>
  <c r="L36"/>
  <c r="L60" i="13"/>
  <c r="L6" i="14" s="1"/>
  <c r="L21" i="13"/>
  <c r="L23" s="1"/>
  <c r="AA112" i="10"/>
  <c r="AK112" i="12" s="1"/>
  <c r="BA112" s="1"/>
  <c r="BI112" s="1"/>
  <c r="K35" i="13"/>
  <c r="L130" i="10"/>
  <c r="AQ111" i="12"/>
  <c r="BC111" s="1"/>
  <c r="BK111" s="1"/>
  <c r="AT111"/>
  <c r="BD111" s="1"/>
  <c r="BL111" s="1"/>
  <c r="AK111"/>
  <c r="BA111" s="1"/>
  <c r="BI111" s="1"/>
  <c r="AN111"/>
  <c r="BB111" s="1"/>
  <c r="BJ111" s="1"/>
  <c r="AE111"/>
  <c r="AY111" s="1"/>
  <c r="BG111" s="1"/>
  <c r="AH111"/>
  <c r="AZ111" s="1"/>
  <c r="BH111" s="1"/>
  <c r="AF111" i="10"/>
  <c r="AG111" s="1"/>
  <c r="AH111" s="1"/>
  <c r="AJ111" s="1"/>
  <c r="P125"/>
  <c r="Q125" s="1"/>
  <c r="B131"/>
  <c r="K130"/>
  <c r="H130"/>
  <c r="O130"/>
  <c r="J130"/>
  <c r="G130"/>
  <c r="I131"/>
  <c r="L131"/>
  <c r="D127"/>
  <c r="E127" s="1"/>
  <c r="C128"/>
  <c r="O126"/>
  <c r="M126"/>
  <c r="N126"/>
  <c r="L57" i="13" l="1"/>
  <c r="L56"/>
  <c r="L55"/>
  <c r="K13" i="14"/>
  <c r="K21" s="1"/>
  <c r="K11"/>
  <c r="K19" s="1"/>
  <c r="K9"/>
  <c r="K17" s="1"/>
  <c r="K14"/>
  <c r="K22" s="1"/>
  <c r="K12"/>
  <c r="K20" s="1"/>
  <c r="K10"/>
  <c r="K18" s="1"/>
  <c r="K8"/>
  <c r="K16" s="1"/>
  <c r="Z113" i="10"/>
  <c r="AA113" s="1"/>
  <c r="AW113" i="12" s="1"/>
  <c r="BE113" s="1"/>
  <c r="BM113" s="1"/>
  <c r="E113"/>
  <c r="H113"/>
  <c r="F113"/>
  <c r="G113"/>
  <c r="I113"/>
  <c r="K113"/>
  <c r="J113"/>
  <c r="AE112"/>
  <c r="AY112" s="1"/>
  <c r="BG112" s="1"/>
  <c r="AF112" i="10"/>
  <c r="K44" i="13" s="1"/>
  <c r="AH112" i="12"/>
  <c r="AZ112" s="1"/>
  <c r="BH112" s="1"/>
  <c r="AN112"/>
  <c r="BB112" s="1"/>
  <c r="BJ112" s="1"/>
  <c r="AQ112"/>
  <c r="BC112" s="1"/>
  <c r="BK112" s="1"/>
  <c r="K36" i="13"/>
  <c r="K39" i="14" s="1"/>
  <c r="K47" s="1"/>
  <c r="AT112" i="12"/>
  <c r="BD112" s="1"/>
  <c r="BL112" s="1"/>
  <c r="AW112"/>
  <c r="BE112" s="1"/>
  <c r="BM112" s="1"/>
  <c r="AQ113"/>
  <c r="BC113" s="1"/>
  <c r="BK113" s="1"/>
  <c r="B132" i="10"/>
  <c r="O131"/>
  <c r="J131"/>
  <c r="G131"/>
  <c r="K131"/>
  <c r="H131"/>
  <c r="I132"/>
  <c r="P126"/>
  <c r="Q126" s="1"/>
  <c r="D128"/>
  <c r="E128" s="1"/>
  <c r="C129"/>
  <c r="N127"/>
  <c r="M127"/>
  <c r="AK113" i="12" l="1"/>
  <c r="BA113" s="1"/>
  <c r="BI113" s="1"/>
  <c r="AE113"/>
  <c r="AY113" s="1"/>
  <c r="BG113" s="1"/>
  <c r="AG112" i="10"/>
  <c r="K45" i="13" s="1"/>
  <c r="AF113" i="10"/>
  <c r="AG113" s="1"/>
  <c r="AH113" s="1"/>
  <c r="AJ113" s="1"/>
  <c r="AH113" i="12"/>
  <c r="AZ113" s="1"/>
  <c r="BH113" s="1"/>
  <c r="AN113"/>
  <c r="BB113" s="1"/>
  <c r="BJ113" s="1"/>
  <c r="AT113"/>
  <c r="BD113" s="1"/>
  <c r="BL113" s="1"/>
  <c r="Z114" i="10"/>
  <c r="AA114" s="1"/>
  <c r="AW114" i="12" s="1"/>
  <c r="BE114" s="1"/>
  <c r="BM114" s="1"/>
  <c r="I114"/>
  <c r="H114"/>
  <c r="F114"/>
  <c r="K114"/>
  <c r="J114"/>
  <c r="E114"/>
  <c r="G114"/>
  <c r="K37" i="14"/>
  <c r="K46" s="1"/>
  <c r="K35"/>
  <c r="K45" s="1"/>
  <c r="K33"/>
  <c r="K44" s="1"/>
  <c r="K31"/>
  <c r="K43" s="1"/>
  <c r="K29"/>
  <c r="K42" s="1"/>
  <c r="K27"/>
  <c r="K41" s="1"/>
  <c r="K61" i="13"/>
  <c r="L132" i="10"/>
  <c r="AQ114" i="12"/>
  <c r="BC114" s="1"/>
  <c r="BK114" s="1"/>
  <c r="P127" i="10"/>
  <c r="Q127" s="1"/>
  <c r="B133"/>
  <c r="K132"/>
  <c r="H132"/>
  <c r="O132"/>
  <c r="J132"/>
  <c r="G132"/>
  <c r="I133"/>
  <c r="N128"/>
  <c r="M128"/>
  <c r="C130"/>
  <c r="D129"/>
  <c r="E129" s="1"/>
  <c r="L133" l="1"/>
  <c r="K63" i="13"/>
  <c r="K65"/>
  <c r="AN114" i="12"/>
  <c r="BB114" s="1"/>
  <c r="BJ114" s="1"/>
  <c r="AH114"/>
  <c r="AZ114" s="1"/>
  <c r="BH114" s="1"/>
  <c r="AK114"/>
  <c r="BA114" s="1"/>
  <c r="BI114" s="1"/>
  <c r="AH112" i="10"/>
  <c r="K47" i="13" s="1"/>
  <c r="AE114" i="12"/>
  <c r="AY114" s="1"/>
  <c r="BG114" s="1"/>
  <c r="AF114" i="10"/>
  <c r="AG114" s="1"/>
  <c r="AH114" s="1"/>
  <c r="AJ114" s="1"/>
  <c r="AT114" i="12"/>
  <c r="BD114" s="1"/>
  <c r="BL114" s="1"/>
  <c r="Z115" i="10"/>
  <c r="AA115" s="1"/>
  <c r="AW115" i="12" s="1"/>
  <c r="BE115" s="1"/>
  <c r="BM115" s="1"/>
  <c r="H115"/>
  <c r="K115"/>
  <c r="J115"/>
  <c r="I115"/>
  <c r="G115"/>
  <c r="E115"/>
  <c r="F115"/>
  <c r="B134" i="10"/>
  <c r="O133"/>
  <c r="J133"/>
  <c r="G133"/>
  <c r="K133"/>
  <c r="H133"/>
  <c r="I134"/>
  <c r="D130"/>
  <c r="E130" s="1"/>
  <c r="C131"/>
  <c r="P128"/>
  <c r="Q128" s="1"/>
  <c r="M129"/>
  <c r="N129"/>
  <c r="AJ112" l="1"/>
  <c r="K52" i="13" s="1"/>
  <c r="AE115" i="12"/>
  <c r="AY115" s="1"/>
  <c r="BG115" s="1"/>
  <c r="AQ115"/>
  <c r="BC115" s="1"/>
  <c r="BK115" s="1"/>
  <c r="AK115"/>
  <c r="BA115" s="1"/>
  <c r="BI115" s="1"/>
  <c r="AF115" i="10"/>
  <c r="AG115" s="1"/>
  <c r="AH115" s="1"/>
  <c r="AJ115" s="1"/>
  <c r="AH115" i="12"/>
  <c r="AZ115" s="1"/>
  <c r="BH115" s="1"/>
  <c r="AN115"/>
  <c r="BB115" s="1"/>
  <c r="BJ115" s="1"/>
  <c r="AT115"/>
  <c r="BD115" s="1"/>
  <c r="BL115" s="1"/>
  <c r="E116"/>
  <c r="F116"/>
  <c r="I116"/>
  <c r="J116"/>
  <c r="H116"/>
  <c r="K116"/>
  <c r="G116"/>
  <c r="L134" i="10"/>
  <c r="B135"/>
  <c r="K134"/>
  <c r="H134"/>
  <c r="O134"/>
  <c r="J134"/>
  <c r="G134"/>
  <c r="I135"/>
  <c r="P129"/>
  <c r="Q129" s="1"/>
  <c r="D131"/>
  <c r="E131" s="1"/>
  <c r="C132"/>
  <c r="Z116"/>
  <c r="AA116" s="1"/>
  <c r="AW116" i="12" s="1"/>
  <c r="BE116" s="1"/>
  <c r="BM116" s="1"/>
  <c r="N130" i="10"/>
  <c r="M130"/>
  <c r="Z117" l="1"/>
  <c r="AA117" s="1"/>
  <c r="AW117" i="12" s="1"/>
  <c r="BE117" s="1"/>
  <c r="BM117" s="1"/>
  <c r="F117"/>
  <c r="H117"/>
  <c r="I117"/>
  <c r="J117"/>
  <c r="K117"/>
  <c r="E117"/>
  <c r="G117"/>
  <c r="L135" i="10"/>
  <c r="L136" s="1"/>
  <c r="AQ116" i="12"/>
  <c r="BC116" s="1"/>
  <c r="BK116" s="1"/>
  <c r="AT116"/>
  <c r="BD116" s="1"/>
  <c r="BL116" s="1"/>
  <c r="AK116"/>
  <c r="BA116" s="1"/>
  <c r="BI116" s="1"/>
  <c r="AN116"/>
  <c r="BB116" s="1"/>
  <c r="BJ116" s="1"/>
  <c r="AE116"/>
  <c r="AY116" s="1"/>
  <c r="BG116" s="1"/>
  <c r="AH116"/>
  <c r="AZ116" s="1"/>
  <c r="BH116" s="1"/>
  <c r="AF116" i="10"/>
  <c r="AG116" s="1"/>
  <c r="AH116" s="1"/>
  <c r="AJ116" s="1"/>
  <c r="B136"/>
  <c r="O135"/>
  <c r="J135"/>
  <c r="G135"/>
  <c r="K135"/>
  <c r="H135"/>
  <c r="I136"/>
  <c r="M131"/>
  <c r="N131"/>
  <c r="P130"/>
  <c r="Q130" s="1"/>
  <c r="C133"/>
  <c r="D132"/>
  <c r="E132" s="1"/>
  <c r="AN117" i="12" l="1"/>
  <c r="BB117" s="1"/>
  <c r="BJ117" s="1"/>
  <c r="AH117"/>
  <c r="AZ117" s="1"/>
  <c r="BH117" s="1"/>
  <c r="AT117"/>
  <c r="BD117" s="1"/>
  <c r="BL117" s="1"/>
  <c r="AF117" i="10"/>
  <c r="AG117" s="1"/>
  <c r="AH117" s="1"/>
  <c r="AJ117" s="1"/>
  <c r="AE117" i="12"/>
  <c r="AY117" s="1"/>
  <c r="BG117" s="1"/>
  <c r="AK117"/>
  <c r="BA117" s="1"/>
  <c r="BI117" s="1"/>
  <c r="AQ117"/>
  <c r="BC117" s="1"/>
  <c r="BK117" s="1"/>
  <c r="H118"/>
  <c r="K118"/>
  <c r="E118"/>
  <c r="J118"/>
  <c r="I118"/>
  <c r="F118"/>
  <c r="G118"/>
  <c r="M17" i="13"/>
  <c r="M14"/>
  <c r="K136" i="10"/>
  <c r="H136"/>
  <c r="O136"/>
  <c r="J136"/>
  <c r="G136"/>
  <c r="N132"/>
  <c r="M132"/>
  <c r="Z118"/>
  <c r="AA118" s="1"/>
  <c r="AW118" i="12" s="1"/>
  <c r="BE118" s="1"/>
  <c r="BM118" s="1"/>
  <c r="P131" i="10"/>
  <c r="Q131" s="1"/>
  <c r="D133"/>
  <c r="E133" s="1"/>
  <c r="C134"/>
  <c r="Z119" l="1"/>
  <c r="AA119" s="1"/>
  <c r="AW119" i="12" s="1"/>
  <c r="BE119" s="1"/>
  <c r="BM119" s="1"/>
  <c r="H119"/>
  <c r="I119"/>
  <c r="J119"/>
  <c r="K119"/>
  <c r="F119"/>
  <c r="G119"/>
  <c r="E119"/>
  <c r="M12" i="13"/>
  <c r="M20"/>
  <c r="M16"/>
  <c r="M15"/>
  <c r="M13"/>
  <c r="AQ118" i="12"/>
  <c r="BC118" s="1"/>
  <c r="BK118" s="1"/>
  <c r="AT118"/>
  <c r="BD118" s="1"/>
  <c r="BL118" s="1"/>
  <c r="AK118"/>
  <c r="BA118" s="1"/>
  <c r="BI118" s="1"/>
  <c r="AN118"/>
  <c r="BB118" s="1"/>
  <c r="BJ118" s="1"/>
  <c r="AE118"/>
  <c r="AY118" s="1"/>
  <c r="BG118" s="1"/>
  <c r="AH118"/>
  <c r="AZ118" s="1"/>
  <c r="BH118" s="1"/>
  <c r="AF118" i="10"/>
  <c r="AG118" s="1"/>
  <c r="AH118" s="1"/>
  <c r="AJ118" s="1"/>
  <c r="P132"/>
  <c r="Q132" s="1"/>
  <c r="M133"/>
  <c r="N133"/>
  <c r="C135"/>
  <c r="D134"/>
  <c r="E134" s="1"/>
  <c r="AH119" i="12" l="1"/>
  <c r="AZ119" s="1"/>
  <c r="BH119" s="1"/>
  <c r="AN119"/>
  <c r="BB119" s="1"/>
  <c r="BJ119" s="1"/>
  <c r="AF119" i="10"/>
  <c r="AG119" s="1"/>
  <c r="AH119" s="1"/>
  <c r="AJ119" s="1"/>
  <c r="AE119" i="12"/>
  <c r="AY119" s="1"/>
  <c r="BG119" s="1"/>
  <c r="AT119"/>
  <c r="BD119" s="1"/>
  <c r="BL119" s="1"/>
  <c r="AK119"/>
  <c r="BA119" s="1"/>
  <c r="BI119" s="1"/>
  <c r="AQ119"/>
  <c r="BC119" s="1"/>
  <c r="BK119" s="1"/>
  <c r="Z120" i="10"/>
  <c r="AA120" s="1"/>
  <c r="AW120" i="12" s="1"/>
  <c r="BE120" s="1"/>
  <c r="BM120" s="1"/>
  <c r="F120"/>
  <c r="H120"/>
  <c r="K120"/>
  <c r="E120"/>
  <c r="I120"/>
  <c r="J120"/>
  <c r="G120"/>
  <c r="P133" i="10"/>
  <c r="Q133" s="1"/>
  <c r="D135"/>
  <c r="E135" s="1"/>
  <c r="C136"/>
  <c r="N134"/>
  <c r="M134"/>
  <c r="AQ120" i="12" l="1"/>
  <c r="BC120" s="1"/>
  <c r="BK120" s="1"/>
  <c r="AH120"/>
  <c r="AZ120" s="1"/>
  <c r="BH120" s="1"/>
  <c r="AN120"/>
  <c r="BB120" s="1"/>
  <c r="BJ120" s="1"/>
  <c r="AF120" i="10"/>
  <c r="AG120" s="1"/>
  <c r="AH120" s="1"/>
  <c r="AJ120" s="1"/>
  <c r="AE120" i="12"/>
  <c r="AY120" s="1"/>
  <c r="BG120" s="1"/>
  <c r="AK120"/>
  <c r="BA120" s="1"/>
  <c r="BI120" s="1"/>
  <c r="AT120"/>
  <c r="BD120" s="1"/>
  <c r="BL120" s="1"/>
  <c r="Z121" i="10"/>
  <c r="AA121" s="1"/>
  <c r="AW121" i="12" s="1"/>
  <c r="BE121" s="1"/>
  <c r="BM121" s="1"/>
  <c r="G121"/>
  <c r="K121"/>
  <c r="E121"/>
  <c r="J121"/>
  <c r="H121"/>
  <c r="F121"/>
  <c r="I121"/>
  <c r="D136" i="10"/>
  <c r="M6" i="13"/>
  <c r="P134" i="10"/>
  <c r="Q134" s="1"/>
  <c r="M135"/>
  <c r="N135"/>
  <c r="AQ121" i="12" l="1"/>
  <c r="BC121" s="1"/>
  <c r="BK121" s="1"/>
  <c r="AE121"/>
  <c r="AY121" s="1"/>
  <c r="BG121" s="1"/>
  <c r="AF121" i="10"/>
  <c r="AG121" s="1"/>
  <c r="AH121" s="1"/>
  <c r="AJ121" s="1"/>
  <c r="AK121" i="12"/>
  <c r="BA121" s="1"/>
  <c r="BI121" s="1"/>
  <c r="Z122" i="10"/>
  <c r="AA122" s="1"/>
  <c r="AW122" i="12" s="1"/>
  <c r="BE122" s="1"/>
  <c r="BM122" s="1"/>
  <c r="G122"/>
  <c r="J122"/>
  <c r="K122"/>
  <c r="F122"/>
  <c r="I122"/>
  <c r="H122"/>
  <c r="E122"/>
  <c r="AH121"/>
  <c r="AZ121" s="1"/>
  <c r="BH121" s="1"/>
  <c r="AN121"/>
  <c r="BB121" s="1"/>
  <c r="BJ121" s="1"/>
  <c r="AT121"/>
  <c r="BD121" s="1"/>
  <c r="BL121" s="1"/>
  <c r="E136" i="10"/>
  <c r="M7" i="13"/>
  <c r="M9" s="1"/>
  <c r="P135" i="10"/>
  <c r="Q135" s="1"/>
  <c r="AN122" i="12" l="1"/>
  <c r="BB122" s="1"/>
  <c r="BJ122" s="1"/>
  <c r="AT122"/>
  <c r="BD122" s="1"/>
  <c r="BL122" s="1"/>
  <c r="AH122"/>
  <c r="AZ122" s="1"/>
  <c r="BH122" s="1"/>
  <c r="AF122" i="10"/>
  <c r="AG122" s="1"/>
  <c r="AH122" s="1"/>
  <c r="AJ122" s="1"/>
  <c r="AE122" i="12"/>
  <c r="AY122" s="1"/>
  <c r="BG122" s="1"/>
  <c r="AK122"/>
  <c r="BA122" s="1"/>
  <c r="BI122" s="1"/>
  <c r="AQ122"/>
  <c r="BC122" s="1"/>
  <c r="BK122" s="1"/>
  <c r="Z123" i="10"/>
  <c r="AA123" s="1"/>
  <c r="AW123" i="12" s="1"/>
  <c r="BE123" s="1"/>
  <c r="BM123" s="1"/>
  <c r="G123"/>
  <c r="K123"/>
  <c r="J123"/>
  <c r="I123"/>
  <c r="E123"/>
  <c r="F123"/>
  <c r="H123"/>
  <c r="N136" i="10"/>
  <c r="M136"/>
  <c r="AQ123" i="12" l="1"/>
  <c r="BC123" s="1"/>
  <c r="BK123" s="1"/>
  <c r="AE123"/>
  <c r="AY123" s="1"/>
  <c r="BG123" s="1"/>
  <c r="AF123" i="10"/>
  <c r="AG123" s="1"/>
  <c r="AH123" s="1"/>
  <c r="AJ123" s="1"/>
  <c r="AK123" i="12"/>
  <c r="BA123" s="1"/>
  <c r="BI123" s="1"/>
  <c r="AH123"/>
  <c r="AZ123" s="1"/>
  <c r="BH123" s="1"/>
  <c r="AN123"/>
  <c r="BB123" s="1"/>
  <c r="BJ123" s="1"/>
  <c r="AT123"/>
  <c r="BD123" s="1"/>
  <c r="BL123" s="1"/>
  <c r="M19" i="13"/>
  <c r="M18"/>
  <c r="P136" i="10"/>
  <c r="Q136" s="1"/>
  <c r="AD124"/>
  <c r="AE124" s="1"/>
  <c r="AD119"/>
  <c r="AE119" s="1"/>
  <c r="AD118"/>
  <c r="AE118" s="1"/>
  <c r="AD116"/>
  <c r="AE116" s="1"/>
  <c r="AD123"/>
  <c r="AE123" s="1"/>
  <c r="AD117"/>
  <c r="AE117" s="1"/>
  <c r="AD120"/>
  <c r="AE120" s="1"/>
  <c r="AD121"/>
  <c r="AE121" s="1"/>
  <c r="AD122"/>
  <c r="AE122" s="1"/>
  <c r="AD114"/>
  <c r="AE114" s="1"/>
  <c r="AD115"/>
  <c r="AE115" s="1"/>
  <c r="M21" i="13" l="1"/>
  <c r="M23" s="1"/>
  <c r="L14" i="14" s="1"/>
  <c r="L22" s="1"/>
  <c r="Z124" i="10"/>
  <c r="AA124" s="1"/>
  <c r="H124" i="12"/>
  <c r="F124"/>
  <c r="I124"/>
  <c r="G124"/>
  <c r="J124"/>
  <c r="K124"/>
  <c r="E124"/>
  <c r="L12" i="14"/>
  <c r="L20" s="1"/>
  <c r="L8"/>
  <c r="L16" s="1"/>
  <c r="L11"/>
  <c r="L19" s="1"/>
  <c r="D123" i="12"/>
  <c r="D121"/>
  <c r="D115"/>
  <c r="D110"/>
  <c r="D117"/>
  <c r="D119"/>
  <c r="D109"/>
  <c r="D113"/>
  <c r="D120"/>
  <c r="D122"/>
  <c r="D118"/>
  <c r="D124"/>
  <c r="D116"/>
  <c r="D112"/>
  <c r="D114"/>
  <c r="D111"/>
  <c r="AD26" i="10"/>
  <c r="AE26" s="1"/>
  <c r="AX26" s="1"/>
  <c r="AD29"/>
  <c r="AD100"/>
  <c r="AE100" s="1"/>
  <c r="AD66"/>
  <c r="AE66" s="1"/>
  <c r="AX66" s="1"/>
  <c r="AD101"/>
  <c r="AD59"/>
  <c r="AE59" s="1"/>
  <c r="AX59" s="1"/>
  <c r="AD33"/>
  <c r="AE33" s="1"/>
  <c r="AX33" s="1"/>
  <c r="AD24"/>
  <c r="AE24" s="1"/>
  <c r="AX24" s="1"/>
  <c r="AD86"/>
  <c r="AE86" s="1"/>
  <c r="AD52"/>
  <c r="AE52" s="1"/>
  <c r="AX52" s="1"/>
  <c r="AD48"/>
  <c r="AE48" s="1"/>
  <c r="AX48" s="1"/>
  <c r="AD62"/>
  <c r="AE62" s="1"/>
  <c r="AX62" s="1"/>
  <c r="AD28"/>
  <c r="AE28" s="1"/>
  <c r="AX28" s="1"/>
  <c r="AD72"/>
  <c r="AE72" s="1"/>
  <c r="AX72" s="1"/>
  <c r="AD83"/>
  <c r="AE83" s="1"/>
  <c r="AX83" s="1"/>
  <c r="AD71"/>
  <c r="AE71" s="1"/>
  <c r="AX71" s="1"/>
  <c r="AD110"/>
  <c r="AE110" s="1"/>
  <c r="AD76"/>
  <c r="AE76" s="1"/>
  <c r="AX76" s="1"/>
  <c r="AD42"/>
  <c r="AE42" s="1"/>
  <c r="AX42" s="1"/>
  <c r="AD54"/>
  <c r="AE54" s="1"/>
  <c r="AX54" s="1"/>
  <c r="AD20"/>
  <c r="AE20" s="1"/>
  <c r="AX20" s="1"/>
  <c r="AD55"/>
  <c r="AE55" s="1"/>
  <c r="AX55" s="1"/>
  <c r="AD75"/>
  <c r="AE75" s="1"/>
  <c r="AX75" s="1"/>
  <c r="AD113"/>
  <c r="AD63"/>
  <c r="AE63" s="1"/>
  <c r="AX63" s="1"/>
  <c r="AD93"/>
  <c r="AE93" s="1"/>
  <c r="AD51"/>
  <c r="AE51" s="1"/>
  <c r="AX51" s="1"/>
  <c r="AD25"/>
  <c r="AE25" s="1"/>
  <c r="AX25" s="1"/>
  <c r="AD64"/>
  <c r="AE64" s="1"/>
  <c r="AX64" s="1"/>
  <c r="AD14"/>
  <c r="AE14" s="1"/>
  <c r="AX14" s="1"/>
  <c r="AD108"/>
  <c r="AE108" s="1"/>
  <c r="AD74"/>
  <c r="AE74" s="1"/>
  <c r="AX74" s="1"/>
  <c r="AD88"/>
  <c r="AE88" s="1"/>
  <c r="AD22"/>
  <c r="AE22" s="1"/>
  <c r="AX22" s="1"/>
  <c r="AD105"/>
  <c r="AE105" s="1"/>
  <c r="AD23"/>
  <c r="AE23" s="1"/>
  <c r="AX23" s="1"/>
  <c r="AD85"/>
  <c r="AE85" s="1"/>
  <c r="AD92"/>
  <c r="AE92" s="1"/>
  <c r="AD58"/>
  <c r="AE58" s="1"/>
  <c r="AX58" s="1"/>
  <c r="AD61"/>
  <c r="AE61" s="1"/>
  <c r="AX61" s="1"/>
  <c r="AD19"/>
  <c r="AE19" s="1"/>
  <c r="AX19" s="1"/>
  <c r="AD34"/>
  <c r="AE34" s="1"/>
  <c r="AX34" s="1"/>
  <c r="AD69"/>
  <c r="AE69" s="1"/>
  <c r="AX69" s="1"/>
  <c r="AD27"/>
  <c r="AE27" s="1"/>
  <c r="AX27" s="1"/>
  <c r="AD106"/>
  <c r="AE106" s="1"/>
  <c r="AD56"/>
  <c r="AE56" s="1"/>
  <c r="AX56" s="1"/>
  <c r="AD84"/>
  <c r="AE84" s="1"/>
  <c r="AX84" s="1"/>
  <c r="AD18"/>
  <c r="AE18" s="1"/>
  <c r="AX18" s="1"/>
  <c r="AD80"/>
  <c r="AE80" s="1"/>
  <c r="AX80" s="1"/>
  <c r="AD30"/>
  <c r="AE30" s="1"/>
  <c r="AX30" s="1"/>
  <c r="AD49"/>
  <c r="AE49" s="1"/>
  <c r="AX49" s="1"/>
  <c r="AD104"/>
  <c r="AE104" s="1"/>
  <c r="AD89"/>
  <c r="AD39"/>
  <c r="AE39" s="1"/>
  <c r="AX39" s="1"/>
  <c r="AD78"/>
  <c r="AE78" s="1"/>
  <c r="AX78" s="1"/>
  <c r="AD44"/>
  <c r="AE44" s="1"/>
  <c r="AX44" s="1"/>
  <c r="AD47"/>
  <c r="AE47" s="1"/>
  <c r="AX47" s="1"/>
  <c r="AD109"/>
  <c r="AE109" s="1"/>
  <c r="AD67"/>
  <c r="AE67" s="1"/>
  <c r="AX67" s="1"/>
  <c r="AD41"/>
  <c r="AD87"/>
  <c r="AE87" s="1"/>
  <c r="AD21"/>
  <c r="AE21" s="1"/>
  <c r="AX21" s="1"/>
  <c r="AD43"/>
  <c r="AE43" s="1"/>
  <c r="AX43" s="1"/>
  <c r="AD17"/>
  <c r="AD95"/>
  <c r="AE95" s="1"/>
  <c r="AD102"/>
  <c r="AE102" s="1"/>
  <c r="AD68"/>
  <c r="AE68" s="1"/>
  <c r="AX68" s="1"/>
  <c r="AD98"/>
  <c r="AE98" s="1"/>
  <c r="AD32"/>
  <c r="AE32" s="1"/>
  <c r="AX32" s="1"/>
  <c r="AD91"/>
  <c r="AE91" s="1"/>
  <c r="AD65"/>
  <c r="AD15"/>
  <c r="AE15" s="1"/>
  <c r="AX15" s="1"/>
  <c r="AD77"/>
  <c r="AD35"/>
  <c r="AE35" s="1"/>
  <c r="AX35" s="1"/>
  <c r="AD82"/>
  <c r="AE82" s="1"/>
  <c r="AX82" s="1"/>
  <c r="AD16"/>
  <c r="AE16" s="1"/>
  <c r="AX16" s="1"/>
  <c r="AD94"/>
  <c r="AE94" s="1"/>
  <c r="AD60"/>
  <c r="AE60" s="1"/>
  <c r="AX60" s="1"/>
  <c r="AD90"/>
  <c r="AE90" s="1"/>
  <c r="AD40"/>
  <c r="AE40" s="1"/>
  <c r="AX40" s="1"/>
  <c r="AD70"/>
  <c r="AE70" s="1"/>
  <c r="AX70" s="1"/>
  <c r="AD36"/>
  <c r="AE36" s="1"/>
  <c r="AX36" s="1"/>
  <c r="AD103"/>
  <c r="AE103" s="1"/>
  <c r="AD37"/>
  <c r="AE37" s="1"/>
  <c r="AX37" s="1"/>
  <c r="AD97"/>
  <c r="AE97" s="1"/>
  <c r="AD111"/>
  <c r="AE111" s="1"/>
  <c r="AD45"/>
  <c r="AE45" s="1"/>
  <c r="AX45" s="1"/>
  <c r="AD50"/>
  <c r="AE50" s="1"/>
  <c r="AX50" s="1"/>
  <c r="AD112"/>
  <c r="AE112" s="1"/>
  <c r="AD107"/>
  <c r="AE107" s="1"/>
  <c r="AD81"/>
  <c r="AE81" s="1"/>
  <c r="AX81" s="1"/>
  <c r="AD31"/>
  <c r="AE31" s="1"/>
  <c r="AX31" s="1"/>
  <c r="AD38"/>
  <c r="AE38" s="1"/>
  <c r="AX38" s="1"/>
  <c r="AD57"/>
  <c r="AE57" s="1"/>
  <c r="AX57" s="1"/>
  <c r="AD96"/>
  <c r="AE96" s="1"/>
  <c r="AD46"/>
  <c r="AE46" s="1"/>
  <c r="AX46" s="1"/>
  <c r="AD12"/>
  <c r="AE12" s="1"/>
  <c r="AX12" s="1"/>
  <c r="AD79"/>
  <c r="AE79" s="1"/>
  <c r="AX79" s="1"/>
  <c r="AD13"/>
  <c r="AE13" s="1"/>
  <c r="AX13" s="1"/>
  <c r="AD99"/>
  <c r="AE99" s="1"/>
  <c r="AD73"/>
  <c r="AE73" s="1"/>
  <c r="AX73" s="1"/>
  <c r="AD53"/>
  <c r="AD11"/>
  <c r="AE11" s="1"/>
  <c r="AX11" s="1"/>
  <c r="AD9"/>
  <c r="AE9" s="1"/>
  <c r="AX9" s="1"/>
  <c r="AD10"/>
  <c r="AE10" s="1"/>
  <c r="AX10" s="1"/>
  <c r="AD8"/>
  <c r="AE8" s="1"/>
  <c r="AX8" s="1"/>
  <c r="AD7"/>
  <c r="L9" i="14" l="1"/>
  <c r="L17" s="1"/>
  <c r="L13"/>
  <c r="L21" s="1"/>
  <c r="L10"/>
  <c r="L18" s="1"/>
  <c r="L35" i="13"/>
  <c r="AE17" i="10"/>
  <c r="AK24" s="1"/>
  <c r="AL24" s="1"/>
  <c r="D40" i="13"/>
  <c r="AE41" i="10"/>
  <c r="AK42" s="1"/>
  <c r="AL42" s="1"/>
  <c r="F40" i="13"/>
  <c r="AE113" i="10"/>
  <c r="AK123" s="1"/>
  <c r="AL123" s="1"/>
  <c r="L40" i="13"/>
  <c r="AE29" i="10"/>
  <c r="AK32" s="1"/>
  <c r="AL32" s="1"/>
  <c r="E40" i="13"/>
  <c r="AQ124" i="12"/>
  <c r="BC124" s="1"/>
  <c r="BK124" s="1"/>
  <c r="AF124" i="10"/>
  <c r="L36" i="13"/>
  <c r="L39" i="14" s="1"/>
  <c r="L47" s="1"/>
  <c r="AT124" i="12"/>
  <c r="BD124" s="1"/>
  <c r="BL124" s="1"/>
  <c r="AN124"/>
  <c r="BB124" s="1"/>
  <c r="BJ124" s="1"/>
  <c r="AH124"/>
  <c r="AZ124" s="1"/>
  <c r="BH124" s="1"/>
  <c r="AW124"/>
  <c r="BE124" s="1"/>
  <c r="BM124" s="1"/>
  <c r="AK124"/>
  <c r="BA124" s="1"/>
  <c r="BI124" s="1"/>
  <c r="AE124"/>
  <c r="AY124" s="1"/>
  <c r="BG124" s="1"/>
  <c r="AE53" i="10"/>
  <c r="AK62" s="1"/>
  <c r="AL62" s="1"/>
  <c r="G40" i="13"/>
  <c r="AE7" i="10"/>
  <c r="AK16" s="1"/>
  <c r="AL16" s="1"/>
  <c r="C40" i="13"/>
  <c r="AE77" i="10"/>
  <c r="AK82" s="1"/>
  <c r="AL82" s="1"/>
  <c r="I40" i="13"/>
  <c r="AE65" i="10"/>
  <c r="AK67" s="1"/>
  <c r="AL67" s="1"/>
  <c r="H40" i="13"/>
  <c r="AE89" i="10"/>
  <c r="AK91" s="1"/>
  <c r="AL91" s="1"/>
  <c r="J40" i="13"/>
  <c r="AE101" i="10"/>
  <c r="AK110" s="1"/>
  <c r="AL110" s="1"/>
  <c r="K40" i="13"/>
  <c r="D93" i="12"/>
  <c r="D106"/>
  <c r="D91"/>
  <c r="D98"/>
  <c r="D85"/>
  <c r="D103"/>
  <c r="D94"/>
  <c r="D101"/>
  <c r="D86"/>
  <c r="D96"/>
  <c r="D107"/>
  <c r="D88"/>
  <c r="D99"/>
  <c r="D102"/>
  <c r="D87"/>
  <c r="D105"/>
  <c r="D104"/>
  <c r="D89"/>
  <c r="D100"/>
  <c r="D108"/>
  <c r="D97"/>
  <c r="D95"/>
  <c r="D92"/>
  <c r="D90"/>
  <c r="D68"/>
  <c r="D29"/>
  <c r="D81"/>
  <c r="D76"/>
  <c r="D73"/>
  <c r="D42"/>
  <c r="D27"/>
  <c r="D52"/>
  <c r="D78"/>
  <c r="D65"/>
  <c r="D34"/>
  <c r="D19"/>
  <c r="D60"/>
  <c r="D21"/>
  <c r="D54"/>
  <c r="D39"/>
  <c r="D61"/>
  <c r="D30"/>
  <c r="D15"/>
  <c r="D56"/>
  <c r="D82"/>
  <c r="D70"/>
  <c r="D55"/>
  <c r="D16"/>
  <c r="D41"/>
  <c r="D84"/>
  <c r="D77"/>
  <c r="D72"/>
  <c r="D33"/>
  <c r="D53"/>
  <c r="D22"/>
  <c r="D71"/>
  <c r="D32"/>
  <c r="D75"/>
  <c r="D43"/>
  <c r="D62"/>
  <c r="D47"/>
  <c r="D24"/>
  <c r="D17"/>
  <c r="D50"/>
  <c r="D35"/>
  <c r="D69"/>
  <c r="D38"/>
  <c r="D23"/>
  <c r="D48"/>
  <c r="D45"/>
  <c r="D14"/>
  <c r="D63"/>
  <c r="D40"/>
  <c r="D83"/>
  <c r="D64"/>
  <c r="D25"/>
  <c r="D58"/>
  <c r="D36"/>
  <c r="D79"/>
  <c r="D49"/>
  <c r="D18"/>
  <c r="D67"/>
  <c r="D44"/>
  <c r="D37"/>
  <c r="D80"/>
  <c r="D74"/>
  <c r="D59"/>
  <c r="D20"/>
  <c r="D13"/>
  <c r="D46"/>
  <c r="D31"/>
  <c r="D66"/>
  <c r="D51"/>
  <c r="D28"/>
  <c r="D57"/>
  <c r="D26"/>
  <c r="AK26" i="10"/>
  <c r="AL26" s="1"/>
  <c r="AK49"/>
  <c r="AL49" s="1"/>
  <c r="AK28"/>
  <c r="AL28" s="1"/>
  <c r="AK25"/>
  <c r="AL25" s="1"/>
  <c r="AK121"/>
  <c r="AL121" s="1"/>
  <c r="AK21"/>
  <c r="AL21" s="1"/>
  <c r="AK68"/>
  <c r="AL68" s="1"/>
  <c r="AK48"/>
  <c r="AL48" s="1"/>
  <c r="AK122"/>
  <c r="AL122" s="1"/>
  <c r="AK43"/>
  <c r="AL43" s="1"/>
  <c r="AK54"/>
  <c r="AL54" s="1"/>
  <c r="AK52"/>
  <c r="AL52" s="1"/>
  <c r="AK40"/>
  <c r="AL40" s="1"/>
  <c r="AK23"/>
  <c r="AL23" s="1"/>
  <c r="AK47"/>
  <c r="AL47" s="1"/>
  <c r="AK50"/>
  <c r="AL50" s="1"/>
  <c r="AK31"/>
  <c r="AL31" s="1"/>
  <c r="AK116"/>
  <c r="AL116" s="1"/>
  <c r="AK79"/>
  <c r="AL79" s="1"/>
  <c r="AK29"/>
  <c r="AL29" s="1"/>
  <c r="AK30"/>
  <c r="AL30" s="1"/>
  <c r="AK34"/>
  <c r="AL34" s="1"/>
  <c r="AK51"/>
  <c r="AL51" s="1"/>
  <c r="AK120"/>
  <c r="AL120" s="1"/>
  <c r="AK80"/>
  <c r="AL80" s="1"/>
  <c r="AK19"/>
  <c r="AL19" s="1"/>
  <c r="AK84" l="1"/>
  <c r="AL84" s="1"/>
  <c r="AK53"/>
  <c r="AL53" s="1"/>
  <c r="AK71"/>
  <c r="AL71" s="1"/>
  <c r="AK83"/>
  <c r="AL83" s="1"/>
  <c r="AK69"/>
  <c r="AL69" s="1"/>
  <c r="AK93"/>
  <c r="AL93" s="1"/>
  <c r="AK66"/>
  <c r="AL66" s="1"/>
  <c r="AK94"/>
  <c r="AL94" s="1"/>
  <c r="AK58"/>
  <c r="AL58" s="1"/>
  <c r="AK97"/>
  <c r="AL97" s="1"/>
  <c r="AK85"/>
  <c r="AL85" s="1"/>
  <c r="AK55"/>
  <c r="AL55" s="1"/>
  <c r="AK18"/>
  <c r="AL18" s="1"/>
  <c r="AK95"/>
  <c r="AL95" s="1"/>
  <c r="AK105"/>
  <c r="AL105" s="1"/>
  <c r="AK107"/>
  <c r="AL107" s="1"/>
  <c r="AK98"/>
  <c r="AL98" s="1"/>
  <c r="AK102"/>
  <c r="AL102" s="1"/>
  <c r="AK92"/>
  <c r="AL92" s="1"/>
  <c r="AK73"/>
  <c r="AL73" s="1"/>
  <c r="AK72"/>
  <c r="AL72" s="1"/>
  <c r="AK77"/>
  <c r="AL77" s="1"/>
  <c r="AK86"/>
  <c r="AL86" s="1"/>
  <c r="AK20"/>
  <c r="AL20" s="1"/>
  <c r="AK39"/>
  <c r="AL39" s="1"/>
  <c r="AK117"/>
  <c r="AL117" s="1"/>
  <c r="AK115"/>
  <c r="AL115" s="1"/>
  <c r="AK114"/>
  <c r="AL114" s="1"/>
  <c r="AK44"/>
  <c r="AL44" s="1"/>
  <c r="AK36"/>
  <c r="AL36" s="1"/>
  <c r="AK38"/>
  <c r="AL38" s="1"/>
  <c r="AK41"/>
  <c r="AL41" s="1"/>
  <c r="AK113"/>
  <c r="AL113" s="1"/>
  <c r="AK119"/>
  <c r="AL119" s="1"/>
  <c r="AK45"/>
  <c r="AL45" s="1"/>
  <c r="AK46"/>
  <c r="AL46" s="1"/>
  <c r="AK35"/>
  <c r="AL35" s="1"/>
  <c r="AK33"/>
  <c r="AL33" s="1"/>
  <c r="AK37"/>
  <c r="AL37" s="1"/>
  <c r="AK118"/>
  <c r="AL118" s="1"/>
  <c r="AK27"/>
  <c r="AL27" s="1"/>
  <c r="AK22"/>
  <c r="AL22" s="1"/>
  <c r="M124" i="12"/>
  <c r="U124" s="1"/>
  <c r="P32"/>
  <c r="X32" s="1"/>
  <c r="R32"/>
  <c r="Z32" s="1"/>
  <c r="M32"/>
  <c r="U32" s="1"/>
  <c r="S32"/>
  <c r="AA32" s="1"/>
  <c r="Q32"/>
  <c r="Y32" s="1"/>
  <c r="O32"/>
  <c r="W32" s="1"/>
  <c r="N32"/>
  <c r="V32" s="1"/>
  <c r="R60"/>
  <c r="Z60" s="1"/>
  <c r="O60"/>
  <c r="W60" s="1"/>
  <c r="N60"/>
  <c r="V60" s="1"/>
  <c r="Q60"/>
  <c r="Y60" s="1"/>
  <c r="P60"/>
  <c r="X60" s="1"/>
  <c r="M60"/>
  <c r="U60" s="1"/>
  <c r="S60"/>
  <c r="AA60" s="1"/>
  <c r="P45"/>
  <c r="X45" s="1"/>
  <c r="Q45"/>
  <c r="Y45" s="1"/>
  <c r="N45"/>
  <c r="V45" s="1"/>
  <c r="R45"/>
  <c r="Z45" s="1"/>
  <c r="M45"/>
  <c r="U45" s="1"/>
  <c r="S45"/>
  <c r="AA45" s="1"/>
  <c r="O45"/>
  <c r="W45" s="1"/>
  <c r="Q59"/>
  <c r="Y59" s="1"/>
  <c r="P59"/>
  <c r="X59" s="1"/>
  <c r="O59"/>
  <c r="W59" s="1"/>
  <c r="S59"/>
  <c r="AA59" s="1"/>
  <c r="N59"/>
  <c r="V59" s="1"/>
  <c r="M59"/>
  <c r="U59" s="1"/>
  <c r="R59"/>
  <c r="Z59" s="1"/>
  <c r="R41"/>
  <c r="Z41" s="1"/>
  <c r="Q41"/>
  <c r="Y41" s="1"/>
  <c r="M41"/>
  <c r="U41" s="1"/>
  <c r="S41"/>
  <c r="AA41" s="1"/>
  <c r="N41"/>
  <c r="V41" s="1"/>
  <c r="O41"/>
  <c r="W41" s="1"/>
  <c r="P41"/>
  <c r="X41" s="1"/>
  <c r="Q49"/>
  <c r="Y49" s="1"/>
  <c r="M49"/>
  <c r="U49" s="1"/>
  <c r="R49"/>
  <c r="Z49" s="1"/>
  <c r="O49"/>
  <c r="W49" s="1"/>
  <c r="S49"/>
  <c r="AA49" s="1"/>
  <c r="N49"/>
  <c r="V49" s="1"/>
  <c r="P49"/>
  <c r="X49" s="1"/>
  <c r="Q39"/>
  <c r="Y39" s="1"/>
  <c r="P39"/>
  <c r="X39" s="1"/>
  <c r="M39"/>
  <c r="U39" s="1"/>
  <c r="N39"/>
  <c r="V39" s="1"/>
  <c r="R39"/>
  <c r="Z39" s="1"/>
  <c r="S39"/>
  <c r="AA39" s="1"/>
  <c r="O39"/>
  <c r="W39" s="1"/>
  <c r="S18"/>
  <c r="AA18" s="1"/>
  <c r="Q18"/>
  <c r="Y18" s="1"/>
  <c r="M18"/>
  <c r="U18" s="1"/>
  <c r="O18"/>
  <c r="W18" s="1"/>
  <c r="N18"/>
  <c r="V18" s="1"/>
  <c r="R18"/>
  <c r="Z18" s="1"/>
  <c r="P18"/>
  <c r="X18" s="1"/>
  <c r="R44"/>
  <c r="Z44" s="1"/>
  <c r="M44"/>
  <c r="U44" s="1"/>
  <c r="P44"/>
  <c r="X44" s="1"/>
  <c r="Q44"/>
  <c r="Y44" s="1"/>
  <c r="S44"/>
  <c r="AA44" s="1"/>
  <c r="N44"/>
  <c r="V44" s="1"/>
  <c r="O44"/>
  <c r="W44" s="1"/>
  <c r="O23"/>
  <c r="W23" s="1"/>
  <c r="Q23"/>
  <c r="Y23" s="1"/>
  <c r="N23"/>
  <c r="V23" s="1"/>
  <c r="P23"/>
  <c r="X23" s="1"/>
  <c r="S23"/>
  <c r="AA23" s="1"/>
  <c r="R23"/>
  <c r="Z23" s="1"/>
  <c r="M23"/>
  <c r="U23" s="1"/>
  <c r="N42"/>
  <c r="V42" s="1"/>
  <c r="M42"/>
  <c r="U42" s="1"/>
  <c r="O42"/>
  <c r="W42" s="1"/>
  <c r="S42"/>
  <c r="AA42" s="1"/>
  <c r="Q42"/>
  <c r="Y42" s="1"/>
  <c r="P42"/>
  <c r="X42" s="1"/>
  <c r="R42"/>
  <c r="Z42" s="1"/>
  <c r="O62"/>
  <c r="W62" s="1"/>
  <c r="S62"/>
  <c r="AA62" s="1"/>
  <c r="P62"/>
  <c r="X62" s="1"/>
  <c r="N62"/>
  <c r="V62" s="1"/>
  <c r="Q62"/>
  <c r="Y62" s="1"/>
  <c r="R62"/>
  <c r="Z62" s="1"/>
  <c r="M62"/>
  <c r="U62" s="1"/>
  <c r="M61"/>
  <c r="U61" s="1"/>
  <c r="P61"/>
  <c r="X61" s="1"/>
  <c r="R61"/>
  <c r="Z61" s="1"/>
  <c r="Q61"/>
  <c r="Y61" s="1"/>
  <c r="N61"/>
  <c r="V61" s="1"/>
  <c r="S61"/>
  <c r="AA61" s="1"/>
  <c r="O61"/>
  <c r="W61" s="1"/>
  <c r="P27"/>
  <c r="X27" s="1"/>
  <c r="O27"/>
  <c r="W27" s="1"/>
  <c r="Q27"/>
  <c r="Y27" s="1"/>
  <c r="M27"/>
  <c r="U27" s="1"/>
  <c r="S27"/>
  <c r="AA27" s="1"/>
  <c r="N27"/>
  <c r="V27" s="1"/>
  <c r="R27"/>
  <c r="Z27" s="1"/>
  <c r="P29"/>
  <c r="X29" s="1"/>
  <c r="N29"/>
  <c r="V29" s="1"/>
  <c r="Q29"/>
  <c r="Y29" s="1"/>
  <c r="M29"/>
  <c r="U29" s="1"/>
  <c r="R29"/>
  <c r="Z29" s="1"/>
  <c r="S29"/>
  <c r="AA29" s="1"/>
  <c r="O29"/>
  <c r="W29" s="1"/>
  <c r="N47"/>
  <c r="V47" s="1"/>
  <c r="S47"/>
  <c r="AA47" s="1"/>
  <c r="R47"/>
  <c r="Z47" s="1"/>
  <c r="O47"/>
  <c r="W47" s="1"/>
  <c r="M47"/>
  <c r="U47" s="1"/>
  <c r="Q47"/>
  <c r="Y47" s="1"/>
  <c r="P47"/>
  <c r="X47" s="1"/>
  <c r="N21"/>
  <c r="V21" s="1"/>
  <c r="P21"/>
  <c r="X21" s="1"/>
  <c r="M21"/>
  <c r="U21" s="1"/>
  <c r="R21"/>
  <c r="Z21" s="1"/>
  <c r="Q21"/>
  <c r="Y21" s="1"/>
  <c r="O21"/>
  <c r="W21" s="1"/>
  <c r="S21"/>
  <c r="AA21" s="1"/>
  <c r="M38"/>
  <c r="U38" s="1"/>
  <c r="P38"/>
  <c r="X38" s="1"/>
  <c r="Q38"/>
  <c r="Y38" s="1"/>
  <c r="S38"/>
  <c r="AA38" s="1"/>
  <c r="O38"/>
  <c r="W38" s="1"/>
  <c r="R38"/>
  <c r="Z38" s="1"/>
  <c r="N38"/>
  <c r="V38" s="1"/>
  <c r="O50"/>
  <c r="W50" s="1"/>
  <c r="M50"/>
  <c r="U50" s="1"/>
  <c r="P50"/>
  <c r="X50" s="1"/>
  <c r="S50"/>
  <c r="AA50" s="1"/>
  <c r="N50"/>
  <c r="V50" s="1"/>
  <c r="Q50"/>
  <c r="Y50" s="1"/>
  <c r="R50"/>
  <c r="Z50" s="1"/>
  <c r="R37"/>
  <c r="Z37" s="1"/>
  <c r="O37"/>
  <c r="W37" s="1"/>
  <c r="M37"/>
  <c r="U37" s="1"/>
  <c r="P37"/>
  <c r="X37" s="1"/>
  <c r="N37"/>
  <c r="V37" s="1"/>
  <c r="S37"/>
  <c r="AA37" s="1"/>
  <c r="Q37"/>
  <c r="Y37" s="1"/>
  <c r="N26"/>
  <c r="V26" s="1"/>
  <c r="Q26"/>
  <c r="Y26" s="1"/>
  <c r="P26"/>
  <c r="X26" s="1"/>
  <c r="S26"/>
  <c r="AA26" s="1"/>
  <c r="O26"/>
  <c r="W26" s="1"/>
  <c r="M26"/>
  <c r="U26" s="1"/>
  <c r="R26"/>
  <c r="Z26" s="1"/>
  <c r="R46"/>
  <c r="Z46" s="1"/>
  <c r="N46"/>
  <c r="V46" s="1"/>
  <c r="P46"/>
  <c r="X46" s="1"/>
  <c r="O46"/>
  <c r="W46" s="1"/>
  <c r="M46"/>
  <c r="U46" s="1"/>
  <c r="S46"/>
  <c r="AA46" s="1"/>
  <c r="Q46"/>
  <c r="Y46" s="1"/>
  <c r="S24"/>
  <c r="AA24" s="1"/>
  <c r="Q24"/>
  <c r="Y24" s="1"/>
  <c r="O24"/>
  <c r="W24" s="1"/>
  <c r="N24"/>
  <c r="V24" s="1"/>
  <c r="M24"/>
  <c r="U24" s="1"/>
  <c r="R24"/>
  <c r="Z24" s="1"/>
  <c r="P24"/>
  <c r="X24" s="1"/>
  <c r="Q51"/>
  <c r="Y51" s="1"/>
  <c r="S51"/>
  <c r="AA51" s="1"/>
  <c r="M51"/>
  <c r="U51" s="1"/>
  <c r="P51"/>
  <c r="X51" s="1"/>
  <c r="O51"/>
  <c r="W51" s="1"/>
  <c r="N51"/>
  <c r="V51" s="1"/>
  <c r="R51"/>
  <c r="Z51" s="1"/>
  <c r="Q25"/>
  <c r="Y25" s="1"/>
  <c r="O25"/>
  <c r="W25" s="1"/>
  <c r="M25"/>
  <c r="U25" s="1"/>
  <c r="S25"/>
  <c r="AA25" s="1"/>
  <c r="R25"/>
  <c r="Z25" s="1"/>
  <c r="P25"/>
  <c r="X25" s="1"/>
  <c r="N25"/>
  <c r="V25" s="1"/>
  <c r="M54"/>
  <c r="U54" s="1"/>
  <c r="S54"/>
  <c r="AA54" s="1"/>
  <c r="N54"/>
  <c r="V54" s="1"/>
  <c r="R54"/>
  <c r="Z54" s="1"/>
  <c r="O54"/>
  <c r="W54" s="1"/>
  <c r="Q54"/>
  <c r="Y54" s="1"/>
  <c r="P54"/>
  <c r="X54" s="1"/>
  <c r="N17"/>
  <c r="V17" s="1"/>
  <c r="O17"/>
  <c r="W17" s="1"/>
  <c r="S17"/>
  <c r="AA17" s="1"/>
  <c r="P17"/>
  <c r="X17" s="1"/>
  <c r="R17"/>
  <c r="Z17" s="1"/>
  <c r="M17"/>
  <c r="U17" s="1"/>
  <c r="Q17"/>
  <c r="Y17" s="1"/>
  <c r="N57"/>
  <c r="V57" s="1"/>
  <c r="P57"/>
  <c r="X57" s="1"/>
  <c r="R57"/>
  <c r="Z57" s="1"/>
  <c r="M57"/>
  <c r="U57" s="1"/>
  <c r="S57"/>
  <c r="AA57" s="1"/>
  <c r="O57"/>
  <c r="W57" s="1"/>
  <c r="Q57"/>
  <c r="Y57" s="1"/>
  <c r="N31"/>
  <c r="V31" s="1"/>
  <c r="M31"/>
  <c r="U31" s="1"/>
  <c r="R31"/>
  <c r="Z31" s="1"/>
  <c r="Q31"/>
  <c r="Y31" s="1"/>
  <c r="S31"/>
  <c r="AA31" s="1"/>
  <c r="P31"/>
  <c r="X31" s="1"/>
  <c r="O31"/>
  <c r="W31" s="1"/>
  <c r="Q40"/>
  <c r="Y40" s="1"/>
  <c r="S40"/>
  <c r="AA40" s="1"/>
  <c r="P40"/>
  <c r="X40" s="1"/>
  <c r="R40"/>
  <c r="Z40" s="1"/>
  <c r="O40"/>
  <c r="W40" s="1"/>
  <c r="N40"/>
  <c r="V40" s="1"/>
  <c r="M40"/>
  <c r="U40" s="1"/>
  <c r="R22"/>
  <c r="Z22" s="1"/>
  <c r="Q22"/>
  <c r="Y22" s="1"/>
  <c r="S22"/>
  <c r="AA22" s="1"/>
  <c r="M22"/>
  <c r="U22" s="1"/>
  <c r="P22"/>
  <c r="X22" s="1"/>
  <c r="N22"/>
  <c r="V22" s="1"/>
  <c r="O22"/>
  <c r="W22" s="1"/>
  <c r="Q20"/>
  <c r="Y20" s="1"/>
  <c r="P20"/>
  <c r="X20" s="1"/>
  <c r="M20"/>
  <c r="U20" s="1"/>
  <c r="O20"/>
  <c r="W20" s="1"/>
  <c r="N20"/>
  <c r="V20" s="1"/>
  <c r="S20"/>
  <c r="AA20" s="1"/>
  <c r="R20"/>
  <c r="Z20" s="1"/>
  <c r="M53"/>
  <c r="U53" s="1"/>
  <c r="R53"/>
  <c r="Z53" s="1"/>
  <c r="Q53"/>
  <c r="Y53" s="1"/>
  <c r="N53"/>
  <c r="V53" s="1"/>
  <c r="O53"/>
  <c r="W53" s="1"/>
  <c r="S53"/>
  <c r="AA53" s="1"/>
  <c r="P53"/>
  <c r="X53" s="1"/>
  <c r="R43"/>
  <c r="Z43" s="1"/>
  <c r="P43"/>
  <c r="X43" s="1"/>
  <c r="O43"/>
  <c r="W43" s="1"/>
  <c r="M43"/>
  <c r="U43" s="1"/>
  <c r="N43"/>
  <c r="V43" s="1"/>
  <c r="Q43"/>
  <c r="Y43" s="1"/>
  <c r="S43"/>
  <c r="AA43" s="1"/>
  <c r="N30"/>
  <c r="V30" s="1"/>
  <c r="R30"/>
  <c r="Z30" s="1"/>
  <c r="Q30"/>
  <c r="Y30" s="1"/>
  <c r="O30"/>
  <c r="W30" s="1"/>
  <c r="P30"/>
  <c r="X30" s="1"/>
  <c r="S30"/>
  <c r="AA30" s="1"/>
  <c r="M30"/>
  <c r="U30" s="1"/>
  <c r="N124"/>
  <c r="V124" s="1"/>
  <c r="S124"/>
  <c r="AA124" s="1"/>
  <c r="Q124"/>
  <c r="Y124" s="1"/>
  <c r="R58"/>
  <c r="Z58" s="1"/>
  <c r="M58"/>
  <c r="U58" s="1"/>
  <c r="Q58"/>
  <c r="Y58" s="1"/>
  <c r="N58"/>
  <c r="V58" s="1"/>
  <c r="S58"/>
  <c r="AA58" s="1"/>
  <c r="P58"/>
  <c r="X58" s="1"/>
  <c r="O58"/>
  <c r="W58" s="1"/>
  <c r="R52"/>
  <c r="Z52" s="1"/>
  <c r="Q52"/>
  <c r="Y52" s="1"/>
  <c r="M52"/>
  <c r="U52" s="1"/>
  <c r="O52"/>
  <c r="W52" s="1"/>
  <c r="P52"/>
  <c r="X52" s="1"/>
  <c r="N52"/>
  <c r="V52" s="1"/>
  <c r="S52"/>
  <c r="AA52" s="1"/>
  <c r="M14"/>
  <c r="U14" s="1"/>
  <c r="R14"/>
  <c r="Z14" s="1"/>
  <c r="N14"/>
  <c r="V14" s="1"/>
  <c r="Q14"/>
  <c r="Y14" s="1"/>
  <c r="O14"/>
  <c r="W14" s="1"/>
  <c r="P14"/>
  <c r="X14" s="1"/>
  <c r="S14"/>
  <c r="AA14" s="1"/>
  <c r="O72"/>
  <c r="W72" s="1"/>
  <c r="P71"/>
  <c r="X71" s="1"/>
  <c r="N64"/>
  <c r="V64" s="1"/>
  <c r="Q65"/>
  <c r="Y65" s="1"/>
  <c r="Q67"/>
  <c r="Y67" s="1"/>
  <c r="P67"/>
  <c r="X67" s="1"/>
  <c r="O63"/>
  <c r="W63" s="1"/>
  <c r="R63"/>
  <c r="Z63" s="1"/>
  <c r="O64"/>
  <c r="W64" s="1"/>
  <c r="P65"/>
  <c r="X65" s="1"/>
  <c r="N67"/>
  <c r="V67" s="1"/>
  <c r="Q68"/>
  <c r="Y68" s="1"/>
  <c r="P68"/>
  <c r="X68" s="1"/>
  <c r="O69"/>
  <c r="W69" s="1"/>
  <c r="N69"/>
  <c r="V69" s="1"/>
  <c r="M70"/>
  <c r="U70" s="1"/>
  <c r="P70"/>
  <c r="X70" s="1"/>
  <c r="M72"/>
  <c r="U72" s="1"/>
  <c r="S71"/>
  <c r="AA71" s="1"/>
  <c r="N71"/>
  <c r="V71" s="1"/>
  <c r="S63"/>
  <c r="AA63" s="1"/>
  <c r="R64"/>
  <c r="Z64" s="1"/>
  <c r="R65"/>
  <c r="Z65" s="1"/>
  <c r="R66"/>
  <c r="Z66" s="1"/>
  <c r="Q66"/>
  <c r="Y66" s="1"/>
  <c r="P64"/>
  <c r="X64" s="1"/>
  <c r="N65"/>
  <c r="V65" s="1"/>
  <c r="O66"/>
  <c r="W66" s="1"/>
  <c r="N66"/>
  <c r="V66" s="1"/>
  <c r="M68"/>
  <c r="U68" s="1"/>
  <c r="P69"/>
  <c r="X69" s="1"/>
  <c r="S69"/>
  <c r="AA69" s="1"/>
  <c r="R70"/>
  <c r="Z70" s="1"/>
  <c r="N70"/>
  <c r="V70" s="1"/>
  <c r="N72"/>
  <c r="V72" s="1"/>
  <c r="M71"/>
  <c r="U71" s="1"/>
  <c r="N73"/>
  <c r="V73" s="1"/>
  <c r="M73"/>
  <c r="U73" s="1"/>
  <c r="Q73"/>
  <c r="Y73" s="1"/>
  <c r="O74"/>
  <c r="W74" s="1"/>
  <c r="Q74"/>
  <c r="Y74" s="1"/>
  <c r="S74"/>
  <c r="AA74" s="1"/>
  <c r="N74"/>
  <c r="V74" s="1"/>
  <c r="O75"/>
  <c r="W75" s="1"/>
  <c r="N75"/>
  <c r="V75" s="1"/>
  <c r="P75"/>
  <c r="X75" s="1"/>
  <c r="S77"/>
  <c r="AA77" s="1"/>
  <c r="P77"/>
  <c r="X77" s="1"/>
  <c r="Q77"/>
  <c r="Y77" s="1"/>
  <c r="Q76"/>
  <c r="Y76" s="1"/>
  <c r="R76"/>
  <c r="Z76" s="1"/>
  <c r="M77"/>
  <c r="U77" s="1"/>
  <c r="P76"/>
  <c r="X76" s="1"/>
  <c r="R72"/>
  <c r="Z72" s="1"/>
  <c r="M63"/>
  <c r="U63" s="1"/>
  <c r="S64"/>
  <c r="AA64" s="1"/>
  <c r="O65"/>
  <c r="W65" s="1"/>
  <c r="S66"/>
  <c r="AA66" s="1"/>
  <c r="P63"/>
  <c r="X63" s="1"/>
  <c r="N63"/>
  <c r="V63" s="1"/>
  <c r="Q64"/>
  <c r="Y64" s="1"/>
  <c r="M65"/>
  <c r="U65" s="1"/>
  <c r="M66"/>
  <c r="U66" s="1"/>
  <c r="P66"/>
  <c r="X66" s="1"/>
  <c r="S68"/>
  <c r="AA68" s="1"/>
  <c r="N68"/>
  <c r="V68" s="1"/>
  <c r="R69"/>
  <c r="Z69" s="1"/>
  <c r="S70"/>
  <c r="AA70" s="1"/>
  <c r="Q70"/>
  <c r="Y70" s="1"/>
  <c r="P72"/>
  <c r="X72" s="1"/>
  <c r="R71"/>
  <c r="Z71" s="1"/>
  <c r="Q72"/>
  <c r="Y72" s="1"/>
  <c r="Q71"/>
  <c r="Y71" s="1"/>
  <c r="Q63"/>
  <c r="Y63" s="1"/>
  <c r="M64"/>
  <c r="U64" s="1"/>
  <c r="R67"/>
  <c r="Z67" s="1"/>
  <c r="M67"/>
  <c r="U67" s="1"/>
  <c r="S65"/>
  <c r="AA65" s="1"/>
  <c r="O67"/>
  <c r="W67" s="1"/>
  <c r="S67"/>
  <c r="AA67" s="1"/>
  <c r="R68"/>
  <c r="Z68" s="1"/>
  <c r="O68"/>
  <c r="W68" s="1"/>
  <c r="Q69"/>
  <c r="Y69" s="1"/>
  <c r="M69"/>
  <c r="U69" s="1"/>
  <c r="O70"/>
  <c r="W70" s="1"/>
  <c r="S72"/>
  <c r="AA72" s="1"/>
  <c r="O71"/>
  <c r="W71" s="1"/>
  <c r="S73"/>
  <c r="AA73" s="1"/>
  <c r="R73"/>
  <c r="Z73" s="1"/>
  <c r="O73"/>
  <c r="W73" s="1"/>
  <c r="P73"/>
  <c r="X73" s="1"/>
  <c r="P74"/>
  <c r="X74" s="1"/>
  <c r="M74"/>
  <c r="U74" s="1"/>
  <c r="R74"/>
  <c r="Z74" s="1"/>
  <c r="S75"/>
  <c r="AA75" s="1"/>
  <c r="Q75"/>
  <c r="Y75" s="1"/>
  <c r="M75"/>
  <c r="U75" s="1"/>
  <c r="R75"/>
  <c r="Z75" s="1"/>
  <c r="O77"/>
  <c r="W77" s="1"/>
  <c r="N77"/>
  <c r="V77" s="1"/>
  <c r="R77"/>
  <c r="Z77" s="1"/>
  <c r="M76"/>
  <c r="U76" s="1"/>
  <c r="O76"/>
  <c r="W76" s="1"/>
  <c r="S76"/>
  <c r="AA76" s="1"/>
  <c r="N76"/>
  <c r="V76" s="1"/>
  <c r="N78"/>
  <c r="V78" s="1"/>
  <c r="P78"/>
  <c r="X78" s="1"/>
  <c r="R78"/>
  <c r="Z78" s="1"/>
  <c r="S78"/>
  <c r="AA78" s="1"/>
  <c r="O78"/>
  <c r="W78" s="1"/>
  <c r="M78"/>
  <c r="U78" s="1"/>
  <c r="Q78"/>
  <c r="Y78" s="1"/>
  <c r="O79"/>
  <c r="W79" s="1"/>
  <c r="N79"/>
  <c r="V79" s="1"/>
  <c r="M79"/>
  <c r="U79" s="1"/>
  <c r="P79"/>
  <c r="X79" s="1"/>
  <c r="R79"/>
  <c r="Z79" s="1"/>
  <c r="S79"/>
  <c r="AA79" s="1"/>
  <c r="Q79"/>
  <c r="Y79" s="1"/>
  <c r="N80"/>
  <c r="V80" s="1"/>
  <c r="Q80"/>
  <c r="Y80" s="1"/>
  <c r="R80"/>
  <c r="Z80" s="1"/>
  <c r="O80"/>
  <c r="W80" s="1"/>
  <c r="M80"/>
  <c r="U80" s="1"/>
  <c r="S80"/>
  <c r="AA80" s="1"/>
  <c r="P80"/>
  <c r="X80" s="1"/>
  <c r="N81"/>
  <c r="V81" s="1"/>
  <c r="O81"/>
  <c r="W81" s="1"/>
  <c r="M81"/>
  <c r="U81" s="1"/>
  <c r="P81"/>
  <c r="X81" s="1"/>
  <c r="Q81"/>
  <c r="Y81" s="1"/>
  <c r="R81"/>
  <c r="Z81" s="1"/>
  <c r="S81"/>
  <c r="AA81" s="1"/>
  <c r="M82"/>
  <c r="U82" s="1"/>
  <c r="Q82"/>
  <c r="Y82" s="1"/>
  <c r="S82"/>
  <c r="AA82" s="1"/>
  <c r="R82"/>
  <c r="Z82" s="1"/>
  <c r="O82"/>
  <c r="W82" s="1"/>
  <c r="N82"/>
  <c r="V82" s="1"/>
  <c r="P82"/>
  <c r="X82" s="1"/>
  <c r="P83"/>
  <c r="X83" s="1"/>
  <c r="Q83"/>
  <c r="Y83" s="1"/>
  <c r="R83"/>
  <c r="Z83" s="1"/>
  <c r="S83"/>
  <c r="AA83" s="1"/>
  <c r="M83"/>
  <c r="U83" s="1"/>
  <c r="N83"/>
  <c r="V83" s="1"/>
  <c r="O83"/>
  <c r="W83" s="1"/>
  <c r="R84"/>
  <c r="Z84" s="1"/>
  <c r="S84"/>
  <c r="AA84" s="1"/>
  <c r="M84"/>
  <c r="U84" s="1"/>
  <c r="N84"/>
  <c r="V84" s="1"/>
  <c r="P84"/>
  <c r="X84" s="1"/>
  <c r="Q84"/>
  <c r="Y84" s="1"/>
  <c r="O84"/>
  <c r="W84" s="1"/>
  <c r="N85"/>
  <c r="V85" s="1"/>
  <c r="Q85"/>
  <c r="Y85" s="1"/>
  <c r="O85"/>
  <c r="W85" s="1"/>
  <c r="P85"/>
  <c r="X85" s="1"/>
  <c r="M85"/>
  <c r="U85" s="1"/>
  <c r="R85"/>
  <c r="Z85" s="1"/>
  <c r="S85"/>
  <c r="AA85" s="1"/>
  <c r="R86"/>
  <c r="Z86" s="1"/>
  <c r="Q86"/>
  <c r="Y86" s="1"/>
  <c r="S86"/>
  <c r="AA86" s="1"/>
  <c r="M86"/>
  <c r="U86" s="1"/>
  <c r="P86"/>
  <c r="X86" s="1"/>
  <c r="N86"/>
  <c r="V86" s="1"/>
  <c r="O86"/>
  <c r="W86" s="1"/>
  <c r="N87"/>
  <c r="V87" s="1"/>
  <c r="S87"/>
  <c r="AA87" s="1"/>
  <c r="Q87"/>
  <c r="Y87" s="1"/>
  <c r="R87"/>
  <c r="Z87" s="1"/>
  <c r="P87"/>
  <c r="X87" s="1"/>
  <c r="O87"/>
  <c r="W87" s="1"/>
  <c r="M87"/>
  <c r="U87" s="1"/>
  <c r="Q88"/>
  <c r="Y88" s="1"/>
  <c r="O88"/>
  <c r="W88" s="1"/>
  <c r="N88"/>
  <c r="V88" s="1"/>
  <c r="S88"/>
  <c r="AA88" s="1"/>
  <c r="P88"/>
  <c r="X88" s="1"/>
  <c r="R88"/>
  <c r="Z88" s="1"/>
  <c r="M88"/>
  <c r="U88" s="1"/>
  <c r="O89"/>
  <c r="W89" s="1"/>
  <c r="Q89"/>
  <c r="Y89" s="1"/>
  <c r="P89"/>
  <c r="X89" s="1"/>
  <c r="N89"/>
  <c r="V89" s="1"/>
  <c r="R89"/>
  <c r="Z89" s="1"/>
  <c r="S89"/>
  <c r="AA89" s="1"/>
  <c r="M89"/>
  <c r="U89" s="1"/>
  <c r="S90"/>
  <c r="AA90" s="1"/>
  <c r="P90"/>
  <c r="X90" s="1"/>
  <c r="O90"/>
  <c r="W90" s="1"/>
  <c r="N90"/>
  <c r="V90" s="1"/>
  <c r="M90"/>
  <c r="U90" s="1"/>
  <c r="R90"/>
  <c r="Z90" s="1"/>
  <c r="Q90"/>
  <c r="Y90" s="1"/>
  <c r="M91"/>
  <c r="U91" s="1"/>
  <c r="O91"/>
  <c r="W91" s="1"/>
  <c r="R91"/>
  <c r="Z91" s="1"/>
  <c r="Q91"/>
  <c r="Y91" s="1"/>
  <c r="P91"/>
  <c r="X91" s="1"/>
  <c r="S91"/>
  <c r="AA91" s="1"/>
  <c r="N91"/>
  <c r="V91" s="1"/>
  <c r="R92"/>
  <c r="Z92" s="1"/>
  <c r="N92"/>
  <c r="V92" s="1"/>
  <c r="Q92"/>
  <c r="Y92" s="1"/>
  <c r="P92"/>
  <c r="X92" s="1"/>
  <c r="O92"/>
  <c r="W92" s="1"/>
  <c r="S92"/>
  <c r="AA92" s="1"/>
  <c r="M92"/>
  <c r="U92" s="1"/>
  <c r="S93"/>
  <c r="AA93" s="1"/>
  <c r="Q93"/>
  <c r="Y93" s="1"/>
  <c r="R93"/>
  <c r="Z93" s="1"/>
  <c r="M93"/>
  <c r="U93" s="1"/>
  <c r="N93"/>
  <c r="V93" s="1"/>
  <c r="O93"/>
  <c r="W93" s="1"/>
  <c r="P93"/>
  <c r="X93" s="1"/>
  <c r="N94"/>
  <c r="V94" s="1"/>
  <c r="Q94"/>
  <c r="Y94" s="1"/>
  <c r="M94"/>
  <c r="U94" s="1"/>
  <c r="P94"/>
  <c r="X94" s="1"/>
  <c r="R94"/>
  <c r="Z94" s="1"/>
  <c r="S94"/>
  <c r="AA94" s="1"/>
  <c r="O94"/>
  <c r="W94" s="1"/>
  <c r="Q95"/>
  <c r="Y95" s="1"/>
  <c r="N95"/>
  <c r="V95" s="1"/>
  <c r="M95"/>
  <c r="U95" s="1"/>
  <c r="R95"/>
  <c r="Z95" s="1"/>
  <c r="O95"/>
  <c r="W95" s="1"/>
  <c r="S95"/>
  <c r="AA95" s="1"/>
  <c r="P95"/>
  <c r="X95" s="1"/>
  <c r="M96"/>
  <c r="U96" s="1"/>
  <c r="S96"/>
  <c r="AA96" s="1"/>
  <c r="Q96"/>
  <c r="Y96" s="1"/>
  <c r="P96"/>
  <c r="X96" s="1"/>
  <c r="O96"/>
  <c r="W96" s="1"/>
  <c r="R96"/>
  <c r="Z96" s="1"/>
  <c r="N96"/>
  <c r="V96" s="1"/>
  <c r="O97"/>
  <c r="W97" s="1"/>
  <c r="S97"/>
  <c r="AA97" s="1"/>
  <c r="Q97"/>
  <c r="Y97" s="1"/>
  <c r="M97"/>
  <c r="U97" s="1"/>
  <c r="N97"/>
  <c r="V97" s="1"/>
  <c r="R97"/>
  <c r="Z97" s="1"/>
  <c r="P97"/>
  <c r="X97" s="1"/>
  <c r="M98"/>
  <c r="U98" s="1"/>
  <c r="N98"/>
  <c r="V98" s="1"/>
  <c r="O98"/>
  <c r="W98" s="1"/>
  <c r="P98"/>
  <c r="X98" s="1"/>
  <c r="R98"/>
  <c r="Z98" s="1"/>
  <c r="Q98"/>
  <c r="Y98" s="1"/>
  <c r="S98"/>
  <c r="AA98" s="1"/>
  <c r="R99"/>
  <c r="Z99" s="1"/>
  <c r="P99"/>
  <c r="X99" s="1"/>
  <c r="S99"/>
  <c r="AA99" s="1"/>
  <c r="M99"/>
  <c r="U99" s="1"/>
  <c r="O99"/>
  <c r="W99" s="1"/>
  <c r="Q99"/>
  <c r="Y99" s="1"/>
  <c r="N99"/>
  <c r="V99" s="1"/>
  <c r="O100"/>
  <c r="W100" s="1"/>
  <c r="P100"/>
  <c r="X100" s="1"/>
  <c r="Q100"/>
  <c r="Y100" s="1"/>
  <c r="S100"/>
  <c r="AA100" s="1"/>
  <c r="R100"/>
  <c r="Z100" s="1"/>
  <c r="N100"/>
  <c r="V100" s="1"/>
  <c r="M100"/>
  <c r="U100" s="1"/>
  <c r="P101"/>
  <c r="X101" s="1"/>
  <c r="Q101"/>
  <c r="Y101" s="1"/>
  <c r="O101"/>
  <c r="W101" s="1"/>
  <c r="R101"/>
  <c r="Z101" s="1"/>
  <c r="S101"/>
  <c r="AA101" s="1"/>
  <c r="N101"/>
  <c r="V101" s="1"/>
  <c r="M101"/>
  <c r="U101" s="1"/>
  <c r="M102"/>
  <c r="U102" s="1"/>
  <c r="O102"/>
  <c r="W102" s="1"/>
  <c r="Q102"/>
  <c r="Y102" s="1"/>
  <c r="N102"/>
  <c r="V102" s="1"/>
  <c r="R102"/>
  <c r="Z102" s="1"/>
  <c r="S102"/>
  <c r="AA102" s="1"/>
  <c r="P102"/>
  <c r="X102" s="1"/>
  <c r="P103"/>
  <c r="X103" s="1"/>
  <c r="M103"/>
  <c r="U103" s="1"/>
  <c r="S103"/>
  <c r="AA103" s="1"/>
  <c r="R103"/>
  <c r="Z103" s="1"/>
  <c r="N103"/>
  <c r="V103" s="1"/>
  <c r="Q103"/>
  <c r="Y103" s="1"/>
  <c r="O103"/>
  <c r="W103" s="1"/>
  <c r="M104"/>
  <c r="U104" s="1"/>
  <c r="O104"/>
  <c r="W104" s="1"/>
  <c r="N104"/>
  <c r="V104" s="1"/>
  <c r="R104"/>
  <c r="Z104" s="1"/>
  <c r="Q104"/>
  <c r="Y104" s="1"/>
  <c r="S104"/>
  <c r="AA104" s="1"/>
  <c r="P104"/>
  <c r="X104" s="1"/>
  <c r="S105"/>
  <c r="AA105" s="1"/>
  <c r="Q105"/>
  <c r="Y105" s="1"/>
  <c r="N105"/>
  <c r="V105" s="1"/>
  <c r="R105"/>
  <c r="Z105" s="1"/>
  <c r="M105"/>
  <c r="U105" s="1"/>
  <c r="O105"/>
  <c r="W105" s="1"/>
  <c r="P105"/>
  <c r="X105" s="1"/>
  <c r="N106"/>
  <c r="V106" s="1"/>
  <c r="P106"/>
  <c r="X106" s="1"/>
  <c r="S106"/>
  <c r="AA106" s="1"/>
  <c r="Q106"/>
  <c r="Y106" s="1"/>
  <c r="M106"/>
  <c r="U106" s="1"/>
  <c r="R106"/>
  <c r="Z106" s="1"/>
  <c r="O106"/>
  <c r="W106" s="1"/>
  <c r="S107"/>
  <c r="AA107" s="1"/>
  <c r="N107"/>
  <c r="V107" s="1"/>
  <c r="R107"/>
  <c r="Z107" s="1"/>
  <c r="O107"/>
  <c r="W107" s="1"/>
  <c r="M107"/>
  <c r="U107" s="1"/>
  <c r="Q107"/>
  <c r="Y107" s="1"/>
  <c r="P107"/>
  <c r="X107" s="1"/>
  <c r="Q108"/>
  <c r="Y108" s="1"/>
  <c r="M108"/>
  <c r="U108" s="1"/>
  <c r="N108"/>
  <c r="V108" s="1"/>
  <c r="P108"/>
  <c r="X108" s="1"/>
  <c r="S108"/>
  <c r="AA108" s="1"/>
  <c r="O108"/>
  <c r="W108" s="1"/>
  <c r="R108"/>
  <c r="Z108" s="1"/>
  <c r="N109"/>
  <c r="V109" s="1"/>
  <c r="S109"/>
  <c r="AA109" s="1"/>
  <c r="M109"/>
  <c r="U109" s="1"/>
  <c r="R109"/>
  <c r="Z109" s="1"/>
  <c r="P109"/>
  <c r="X109" s="1"/>
  <c r="Q109"/>
  <c r="Y109" s="1"/>
  <c r="O109"/>
  <c r="W109" s="1"/>
  <c r="N110"/>
  <c r="V110" s="1"/>
  <c r="M110"/>
  <c r="U110" s="1"/>
  <c r="O110"/>
  <c r="W110" s="1"/>
  <c r="P110"/>
  <c r="X110" s="1"/>
  <c r="Q110"/>
  <c r="Y110" s="1"/>
  <c r="S110"/>
  <c r="AA110" s="1"/>
  <c r="R110"/>
  <c r="Z110" s="1"/>
  <c r="N111"/>
  <c r="V111" s="1"/>
  <c r="O111"/>
  <c r="W111" s="1"/>
  <c r="N112"/>
  <c r="V112" s="1"/>
  <c r="S111"/>
  <c r="AA111" s="1"/>
  <c r="Q111"/>
  <c r="Y111" s="1"/>
  <c r="M112"/>
  <c r="U112" s="1"/>
  <c r="P112"/>
  <c r="X112" s="1"/>
  <c r="P111"/>
  <c r="X111" s="1"/>
  <c r="M111"/>
  <c r="U111" s="1"/>
  <c r="R112"/>
  <c r="Z112" s="1"/>
  <c r="O112"/>
  <c r="W112" s="1"/>
  <c r="R111"/>
  <c r="Z111" s="1"/>
  <c r="Q112"/>
  <c r="Y112" s="1"/>
  <c r="S112"/>
  <c r="AA112" s="1"/>
  <c r="Q113"/>
  <c r="Y113" s="1"/>
  <c r="M113"/>
  <c r="U113" s="1"/>
  <c r="O113"/>
  <c r="W113" s="1"/>
  <c r="R113"/>
  <c r="Z113" s="1"/>
  <c r="N113"/>
  <c r="V113" s="1"/>
  <c r="S113"/>
  <c r="AA113" s="1"/>
  <c r="P113"/>
  <c r="X113" s="1"/>
  <c r="S114"/>
  <c r="AA114" s="1"/>
  <c r="O114"/>
  <c r="W114" s="1"/>
  <c r="N114"/>
  <c r="V114" s="1"/>
  <c r="M114"/>
  <c r="U114" s="1"/>
  <c r="P114"/>
  <c r="X114" s="1"/>
  <c r="R114"/>
  <c r="Z114" s="1"/>
  <c r="Q114"/>
  <c r="Y114" s="1"/>
  <c r="Q115"/>
  <c r="Y115" s="1"/>
  <c r="N115"/>
  <c r="V115" s="1"/>
  <c r="R115"/>
  <c r="Z115" s="1"/>
  <c r="M115"/>
  <c r="U115" s="1"/>
  <c r="S115"/>
  <c r="AA115" s="1"/>
  <c r="O115"/>
  <c r="W115" s="1"/>
  <c r="P115"/>
  <c r="X115" s="1"/>
  <c r="R116"/>
  <c r="Z116" s="1"/>
  <c r="O116"/>
  <c r="W116" s="1"/>
  <c r="Q116"/>
  <c r="Y116" s="1"/>
  <c r="S116"/>
  <c r="AA116" s="1"/>
  <c r="N116"/>
  <c r="V116" s="1"/>
  <c r="P116"/>
  <c r="X116" s="1"/>
  <c r="M116"/>
  <c r="U116" s="1"/>
  <c r="S117"/>
  <c r="AA117" s="1"/>
  <c r="N117"/>
  <c r="V117" s="1"/>
  <c r="R117"/>
  <c r="Z117" s="1"/>
  <c r="O117"/>
  <c r="W117" s="1"/>
  <c r="Q117"/>
  <c r="Y117" s="1"/>
  <c r="M117"/>
  <c r="U117" s="1"/>
  <c r="P117"/>
  <c r="X117" s="1"/>
  <c r="Q118"/>
  <c r="Y118" s="1"/>
  <c r="P118"/>
  <c r="X118" s="1"/>
  <c r="R118"/>
  <c r="Z118" s="1"/>
  <c r="O118"/>
  <c r="W118" s="1"/>
  <c r="M118"/>
  <c r="U118" s="1"/>
  <c r="N118"/>
  <c r="V118" s="1"/>
  <c r="S118"/>
  <c r="AA118" s="1"/>
  <c r="N119"/>
  <c r="V119" s="1"/>
  <c r="P119"/>
  <c r="X119" s="1"/>
  <c r="S119"/>
  <c r="AA119" s="1"/>
  <c r="M119"/>
  <c r="U119" s="1"/>
  <c r="R119"/>
  <c r="Z119" s="1"/>
  <c r="O119"/>
  <c r="W119" s="1"/>
  <c r="Q119"/>
  <c r="Y119" s="1"/>
  <c r="Q120"/>
  <c r="Y120" s="1"/>
  <c r="N120"/>
  <c r="V120" s="1"/>
  <c r="M120"/>
  <c r="U120" s="1"/>
  <c r="O120"/>
  <c r="W120" s="1"/>
  <c r="S120"/>
  <c r="AA120" s="1"/>
  <c r="R120"/>
  <c r="Z120" s="1"/>
  <c r="P120"/>
  <c r="X120" s="1"/>
  <c r="M121"/>
  <c r="U121" s="1"/>
  <c r="N121"/>
  <c r="V121" s="1"/>
  <c r="S121"/>
  <c r="AA121" s="1"/>
  <c r="Q121"/>
  <c r="Y121" s="1"/>
  <c r="O121"/>
  <c r="W121" s="1"/>
  <c r="R121"/>
  <c r="Z121" s="1"/>
  <c r="P121"/>
  <c r="X121" s="1"/>
  <c r="N122"/>
  <c r="V122" s="1"/>
  <c r="M122"/>
  <c r="U122" s="1"/>
  <c r="S122"/>
  <c r="AA122" s="1"/>
  <c r="P122"/>
  <c r="X122" s="1"/>
  <c r="R122"/>
  <c r="Z122" s="1"/>
  <c r="Q122"/>
  <c r="Y122" s="1"/>
  <c r="O122"/>
  <c r="W122" s="1"/>
  <c r="M123"/>
  <c r="U123" s="1"/>
  <c r="N123"/>
  <c r="V123" s="1"/>
  <c r="S123"/>
  <c r="AA123" s="1"/>
  <c r="P123"/>
  <c r="X123" s="1"/>
  <c r="O123"/>
  <c r="W123" s="1"/>
  <c r="Q123"/>
  <c r="Y123" s="1"/>
  <c r="R123"/>
  <c r="Z123" s="1"/>
  <c r="O19"/>
  <c r="W19" s="1"/>
  <c r="M19"/>
  <c r="U19" s="1"/>
  <c r="R19"/>
  <c r="Z19" s="1"/>
  <c r="P19"/>
  <c r="X19" s="1"/>
  <c r="N19"/>
  <c r="V19" s="1"/>
  <c r="S19"/>
  <c r="AA19" s="1"/>
  <c r="Q19"/>
  <c r="Y19" s="1"/>
  <c r="P15"/>
  <c r="X15" s="1"/>
  <c r="Q15"/>
  <c r="Y15" s="1"/>
  <c r="O15"/>
  <c r="W15" s="1"/>
  <c r="S15"/>
  <c r="AA15" s="1"/>
  <c r="N15"/>
  <c r="V15" s="1"/>
  <c r="R15"/>
  <c r="Z15" s="1"/>
  <c r="M15"/>
  <c r="U15" s="1"/>
  <c r="O36"/>
  <c r="W36" s="1"/>
  <c r="R36"/>
  <c r="Z36" s="1"/>
  <c r="N36"/>
  <c r="V36" s="1"/>
  <c r="P36"/>
  <c r="X36" s="1"/>
  <c r="Q36"/>
  <c r="Y36" s="1"/>
  <c r="M36"/>
  <c r="U36" s="1"/>
  <c r="S36"/>
  <c r="AA36" s="1"/>
  <c r="Q48"/>
  <c r="Y48" s="1"/>
  <c r="P48"/>
  <c r="X48" s="1"/>
  <c r="S48"/>
  <c r="AA48" s="1"/>
  <c r="O48"/>
  <c r="W48" s="1"/>
  <c r="R48"/>
  <c r="Z48" s="1"/>
  <c r="N48"/>
  <c r="V48" s="1"/>
  <c r="M48"/>
  <c r="U48" s="1"/>
  <c r="S33"/>
  <c r="AA33" s="1"/>
  <c r="N33"/>
  <c r="V33" s="1"/>
  <c r="M33"/>
  <c r="U33" s="1"/>
  <c r="O33"/>
  <c r="W33" s="1"/>
  <c r="R33"/>
  <c r="Z33" s="1"/>
  <c r="Q33"/>
  <c r="Y33" s="1"/>
  <c r="P33"/>
  <c r="X33" s="1"/>
  <c r="Q34"/>
  <c r="Y34" s="1"/>
  <c r="R34"/>
  <c r="Z34" s="1"/>
  <c r="P34"/>
  <c r="X34" s="1"/>
  <c r="N34"/>
  <c r="V34" s="1"/>
  <c r="O34"/>
  <c r="W34" s="1"/>
  <c r="S34"/>
  <c r="AA34" s="1"/>
  <c r="M34"/>
  <c r="U34" s="1"/>
  <c r="S56"/>
  <c r="AA56" s="1"/>
  <c r="P56"/>
  <c r="X56" s="1"/>
  <c r="M56"/>
  <c r="U56" s="1"/>
  <c r="N56"/>
  <c r="V56" s="1"/>
  <c r="O56"/>
  <c r="W56" s="1"/>
  <c r="Q56"/>
  <c r="Y56" s="1"/>
  <c r="R56"/>
  <c r="Z56" s="1"/>
  <c r="R16"/>
  <c r="Z16" s="1"/>
  <c r="M16"/>
  <c r="U16" s="1"/>
  <c r="N16"/>
  <c r="V16" s="1"/>
  <c r="Q16"/>
  <c r="Y16" s="1"/>
  <c r="S16"/>
  <c r="AA16" s="1"/>
  <c r="P16"/>
  <c r="X16" s="1"/>
  <c r="O16"/>
  <c r="W16" s="1"/>
  <c r="M55"/>
  <c r="U55" s="1"/>
  <c r="O55"/>
  <c r="W55" s="1"/>
  <c r="Q55"/>
  <c r="Y55" s="1"/>
  <c r="S55"/>
  <c r="AA55" s="1"/>
  <c r="N55"/>
  <c r="V55" s="1"/>
  <c r="R55"/>
  <c r="Z55" s="1"/>
  <c r="P55"/>
  <c r="X55" s="1"/>
  <c r="M35"/>
  <c r="U35" s="1"/>
  <c r="P35"/>
  <c r="X35" s="1"/>
  <c r="Q35"/>
  <c r="Y35" s="1"/>
  <c r="O35"/>
  <c r="W35" s="1"/>
  <c r="S35"/>
  <c r="AA35" s="1"/>
  <c r="R35"/>
  <c r="Z35" s="1"/>
  <c r="N35"/>
  <c r="V35" s="1"/>
  <c r="N28"/>
  <c r="V28" s="1"/>
  <c r="S28"/>
  <c r="AA28" s="1"/>
  <c r="O28"/>
  <c r="W28" s="1"/>
  <c r="P28"/>
  <c r="X28" s="1"/>
  <c r="M28"/>
  <c r="U28" s="1"/>
  <c r="R28"/>
  <c r="Z28" s="1"/>
  <c r="Q28"/>
  <c r="Y28" s="1"/>
  <c r="O124"/>
  <c r="W124" s="1"/>
  <c r="P124"/>
  <c r="X124" s="1"/>
  <c r="R124"/>
  <c r="Z124" s="1"/>
  <c r="AK17" i="10"/>
  <c r="AL17" s="1"/>
  <c r="AK112"/>
  <c r="AL112" s="1"/>
  <c r="AK103"/>
  <c r="AL103" s="1"/>
  <c r="AK76"/>
  <c r="AL76" s="1"/>
  <c r="AK101"/>
  <c r="AL101" s="1"/>
  <c r="AK81"/>
  <c r="AL81" s="1"/>
  <c r="AK61"/>
  <c r="AL61" s="1"/>
  <c r="AK57"/>
  <c r="AL57" s="1"/>
  <c r="AK63"/>
  <c r="AL63" s="1"/>
  <c r="AK87"/>
  <c r="AL87" s="1"/>
  <c r="AK60"/>
  <c r="AL60" s="1"/>
  <c r="AK109"/>
  <c r="AL109" s="1"/>
  <c r="AK88"/>
  <c r="AK56"/>
  <c r="AL56" s="1"/>
  <c r="AK90"/>
  <c r="AL90" s="1"/>
  <c r="AK64"/>
  <c r="AL64" s="1"/>
  <c r="AK65"/>
  <c r="AL65" s="1"/>
  <c r="AK74"/>
  <c r="AL74" s="1"/>
  <c r="AK96"/>
  <c r="AL96" s="1"/>
  <c r="AK78"/>
  <c r="AL78" s="1"/>
  <c r="AK59"/>
  <c r="AL59" s="1"/>
  <c r="AK99"/>
  <c r="AL99" s="1"/>
  <c r="AK111"/>
  <c r="AL111" s="1"/>
  <c r="AK75"/>
  <c r="AL75" s="1"/>
  <c r="AK104"/>
  <c r="AL104" s="1"/>
  <c r="AK100"/>
  <c r="AL100" s="1"/>
  <c r="AK70"/>
  <c r="AL70" s="1"/>
  <c r="AK108"/>
  <c r="AL108" s="1"/>
  <c r="AK106"/>
  <c r="AL106" s="1"/>
  <c r="L37" i="14"/>
  <c r="L46" s="1"/>
  <c r="L35"/>
  <c r="L45" s="1"/>
  <c r="L33"/>
  <c r="L44" s="1"/>
  <c r="L31"/>
  <c r="L43" s="1"/>
  <c r="L29"/>
  <c r="L42" s="1"/>
  <c r="L27"/>
  <c r="L41" s="1"/>
  <c r="L61" i="13"/>
  <c r="C53"/>
  <c r="C54" s="1"/>
  <c r="K41"/>
  <c r="K68" s="1"/>
  <c r="AX65" i="10"/>
  <c r="H41" i="13"/>
  <c r="H68" s="1"/>
  <c r="AX7" i="10"/>
  <c r="C41" i="13"/>
  <c r="C68" s="1"/>
  <c r="AG124" i="10"/>
  <c r="L44" i="13"/>
  <c r="L41"/>
  <c r="L68" s="1"/>
  <c r="AX17" i="10"/>
  <c r="D41" i="13"/>
  <c r="D68" s="1"/>
  <c r="AK89" i="10"/>
  <c r="AL89" s="1"/>
  <c r="D53" i="13"/>
  <c r="D54" s="1"/>
  <c r="J41"/>
  <c r="J68" s="1"/>
  <c r="AX77" i="10"/>
  <c r="I41" i="13"/>
  <c r="I68" s="1"/>
  <c r="AX53" i="10"/>
  <c r="G41" i="13"/>
  <c r="G68" s="1"/>
  <c r="AX29" i="10"/>
  <c r="E41" i="13"/>
  <c r="E68" s="1"/>
  <c r="AX41" i="10"/>
  <c r="F41" i="13"/>
  <c r="F68" s="1"/>
  <c r="F53"/>
  <c r="F54" s="1"/>
  <c r="E53"/>
  <c r="E54" s="1"/>
  <c r="AR8" i="10"/>
  <c r="AR10"/>
  <c r="AR12"/>
  <c r="AR14"/>
  <c r="AR16"/>
  <c r="AR97"/>
  <c r="AR118"/>
  <c r="AR99"/>
  <c r="AR80"/>
  <c r="AR29"/>
  <c r="AR119"/>
  <c r="AR100"/>
  <c r="AR49"/>
  <c r="AR30"/>
  <c r="AR120"/>
  <c r="AR101"/>
  <c r="AR82"/>
  <c r="AR63"/>
  <c r="AR44"/>
  <c r="AR25"/>
  <c r="AR115"/>
  <c r="AR96"/>
  <c r="AR77"/>
  <c r="AR58"/>
  <c r="AR39"/>
  <c r="AR78"/>
  <c r="AR21"/>
  <c r="AR111"/>
  <c r="AR92"/>
  <c r="AR105"/>
  <c r="AR86"/>
  <c r="AR106"/>
  <c r="AR87"/>
  <c r="AR68"/>
  <c r="AR107"/>
  <c r="AR88"/>
  <c r="AR65"/>
  <c r="AR102"/>
  <c r="AR116"/>
  <c r="AR81"/>
  <c r="AR27"/>
  <c r="AR117"/>
  <c r="AR98"/>
  <c r="AR60"/>
  <c r="AR9"/>
  <c r="AR11"/>
  <c r="AR13"/>
  <c r="AR15"/>
  <c r="AR73"/>
  <c r="AR54"/>
  <c r="AR35"/>
  <c r="AR93"/>
  <c r="AR74"/>
  <c r="AR55"/>
  <c r="AR36"/>
  <c r="AR94"/>
  <c r="AR75"/>
  <c r="AR56"/>
  <c r="AR37"/>
  <c r="AR18"/>
  <c r="AR108"/>
  <c r="AR89"/>
  <c r="AR70"/>
  <c r="AR51"/>
  <c r="AR32"/>
  <c r="AR122"/>
  <c r="AR103"/>
  <c r="AR84"/>
  <c r="AR33"/>
  <c r="AR123"/>
  <c r="AR104"/>
  <c r="AR85"/>
  <c r="AR66"/>
  <c r="AR47"/>
  <c r="AR28"/>
  <c r="AR41"/>
  <c r="AR22"/>
  <c r="AR112"/>
  <c r="AR61"/>
  <c r="AR42"/>
  <c r="AR23"/>
  <c r="AR113"/>
  <c r="AR62"/>
  <c r="AR43"/>
  <c r="AR24"/>
  <c r="AR114"/>
  <c r="AR95"/>
  <c r="AR76"/>
  <c r="AR57"/>
  <c r="AR38"/>
  <c r="AR19"/>
  <c r="AR109"/>
  <c r="AR90"/>
  <c r="AR71"/>
  <c r="AR52"/>
  <c r="AR110"/>
  <c r="AR91"/>
  <c r="AR72"/>
  <c r="AR53"/>
  <c r="AR34"/>
  <c r="AR124"/>
  <c r="AR121"/>
  <c r="AR20"/>
  <c r="AR59"/>
  <c r="AR40"/>
  <c r="AR67"/>
  <c r="AR48"/>
  <c r="AR17"/>
  <c r="AR69"/>
  <c r="AR50"/>
  <c r="AR31"/>
  <c r="AR83"/>
  <c r="AR64"/>
  <c r="AR45"/>
  <c r="AR26"/>
  <c r="AR46"/>
  <c r="AR79"/>
  <c r="AY42" l="1"/>
  <c r="AY40"/>
  <c r="G53" i="13"/>
  <c r="G54" s="1"/>
  <c r="AU46" i="10"/>
  <c r="AV46" s="1"/>
  <c r="AS46"/>
  <c r="AT46" s="1"/>
  <c r="AU83"/>
  <c r="AV83" s="1"/>
  <c r="AS83"/>
  <c r="AT83" s="1"/>
  <c r="AU17"/>
  <c r="AV17" s="1"/>
  <c r="AS17"/>
  <c r="AT17" s="1"/>
  <c r="AU59"/>
  <c r="AV59" s="1"/>
  <c r="AS59"/>
  <c r="AT59" s="1"/>
  <c r="AU34"/>
  <c r="AV34" s="1"/>
  <c r="AS34"/>
  <c r="AT34" s="1"/>
  <c r="AU110"/>
  <c r="AV110" s="1"/>
  <c r="AS110"/>
  <c r="AT110" s="1"/>
  <c r="AU109"/>
  <c r="AV109" s="1"/>
  <c r="AS109"/>
  <c r="AT109" s="1"/>
  <c r="AU76"/>
  <c r="AV76" s="1"/>
  <c r="AS76"/>
  <c r="AT76" s="1"/>
  <c r="AU43"/>
  <c r="AV43" s="1"/>
  <c r="AS43"/>
  <c r="AT43" s="1"/>
  <c r="AU42"/>
  <c r="AV42" s="1"/>
  <c r="AS42"/>
  <c r="AT42" s="1"/>
  <c r="AU41"/>
  <c r="AV41" s="1"/>
  <c r="AS41"/>
  <c r="AT41" s="1"/>
  <c r="AU85"/>
  <c r="AV85" s="1"/>
  <c r="AS85"/>
  <c r="AT85" s="1"/>
  <c r="AU84"/>
  <c r="AV84" s="1"/>
  <c r="AS84"/>
  <c r="AT84" s="1"/>
  <c r="AU51"/>
  <c r="AV51" s="1"/>
  <c r="AS51"/>
  <c r="AT51" s="1"/>
  <c r="AU18"/>
  <c r="AV18" s="1"/>
  <c r="AS18"/>
  <c r="AT18" s="1"/>
  <c r="AU94"/>
  <c r="AV94" s="1"/>
  <c r="AS94"/>
  <c r="AT94" s="1"/>
  <c r="AU93"/>
  <c r="AV93" s="1"/>
  <c r="AS93"/>
  <c r="AT93" s="1"/>
  <c r="AU15"/>
  <c r="AV15" s="1"/>
  <c r="AS15"/>
  <c r="AT15" s="1"/>
  <c r="AU60"/>
  <c r="AV60" s="1"/>
  <c r="AS60"/>
  <c r="AT60" s="1"/>
  <c r="AU81"/>
  <c r="AV81" s="1"/>
  <c r="AS81"/>
  <c r="AT81" s="1"/>
  <c r="AU88"/>
  <c r="AV88" s="1"/>
  <c r="AS88"/>
  <c r="AT88" s="1"/>
  <c r="AU106"/>
  <c r="AV106" s="1"/>
  <c r="AS106"/>
  <c r="AT106" s="1"/>
  <c r="AU111"/>
  <c r="AV111" s="1"/>
  <c r="AS111"/>
  <c r="AT111" s="1"/>
  <c r="AU78"/>
  <c r="AV78" s="1"/>
  <c r="AS78"/>
  <c r="AT78" s="1"/>
  <c r="AU96"/>
  <c r="AV96" s="1"/>
  <c r="AS96"/>
  <c r="AT96" s="1"/>
  <c r="AU63"/>
  <c r="AV63" s="1"/>
  <c r="AS63"/>
  <c r="AT63" s="1"/>
  <c r="AU101"/>
  <c r="AV101" s="1"/>
  <c r="AS101"/>
  <c r="AT101" s="1"/>
  <c r="AU100"/>
  <c r="AV100" s="1"/>
  <c r="AS100"/>
  <c r="AT100" s="1"/>
  <c r="AU99"/>
  <c r="AV99" s="1"/>
  <c r="AS99"/>
  <c r="AT99" s="1"/>
  <c r="AU97"/>
  <c r="AV97" s="1"/>
  <c r="AS97"/>
  <c r="AT97" s="1"/>
  <c r="AU10"/>
  <c r="AV10" s="1"/>
  <c r="AS10"/>
  <c r="AT10" s="1"/>
  <c r="AU79"/>
  <c r="AV79" s="1"/>
  <c r="AS79"/>
  <c r="AT79" s="1"/>
  <c r="AU26"/>
  <c r="AV26" s="1"/>
  <c r="AS26"/>
  <c r="AT26" s="1"/>
  <c r="AU64"/>
  <c r="AV64" s="1"/>
  <c r="AS64"/>
  <c r="AT64" s="1"/>
  <c r="AU31"/>
  <c r="AV31" s="1"/>
  <c r="AS31"/>
  <c r="AT31" s="1"/>
  <c r="AU69"/>
  <c r="AV69" s="1"/>
  <c r="AS69"/>
  <c r="AT69" s="1"/>
  <c r="AU48"/>
  <c r="AV48" s="1"/>
  <c r="AS48"/>
  <c r="AT48" s="1"/>
  <c r="AU40"/>
  <c r="AV40" s="1"/>
  <c r="AS40"/>
  <c r="AT40" s="1"/>
  <c r="AU20"/>
  <c r="AV20" s="1"/>
  <c r="AS20"/>
  <c r="AT20" s="1"/>
  <c r="AU124"/>
  <c r="AV124" s="1"/>
  <c r="AS124"/>
  <c r="AT124" s="1"/>
  <c r="AU53"/>
  <c r="AV53" s="1"/>
  <c r="AS53"/>
  <c r="AT53" s="1"/>
  <c r="AU91"/>
  <c r="AV91" s="1"/>
  <c r="AS91"/>
  <c r="AT91" s="1"/>
  <c r="AU52"/>
  <c r="AV52" s="1"/>
  <c r="AS52"/>
  <c r="AT52" s="1"/>
  <c r="AU90"/>
  <c r="AV90" s="1"/>
  <c r="AS90"/>
  <c r="AT90" s="1"/>
  <c r="AU19"/>
  <c r="AV19" s="1"/>
  <c r="AS19"/>
  <c r="AT19" s="1"/>
  <c r="AU57"/>
  <c r="AV57" s="1"/>
  <c r="AS57"/>
  <c r="AT57" s="1"/>
  <c r="AU95"/>
  <c r="AV95" s="1"/>
  <c r="AS95"/>
  <c r="AT95" s="1"/>
  <c r="AU24"/>
  <c r="AV24" s="1"/>
  <c r="AS24"/>
  <c r="AT24" s="1"/>
  <c r="AU62"/>
  <c r="AV62" s="1"/>
  <c r="AS62"/>
  <c r="AT62" s="1"/>
  <c r="AU23"/>
  <c r="AV23" s="1"/>
  <c r="AS23"/>
  <c r="AT23" s="1"/>
  <c r="AU61"/>
  <c r="AV61" s="1"/>
  <c r="AS61"/>
  <c r="AT61" s="1"/>
  <c r="AS22"/>
  <c r="AT22" s="1"/>
  <c r="AU22"/>
  <c r="AV22" s="1"/>
  <c r="AU28"/>
  <c r="AV28" s="1"/>
  <c r="AS28"/>
  <c r="AT28" s="1"/>
  <c r="AU66"/>
  <c r="AV66" s="1"/>
  <c r="AS66"/>
  <c r="AT66" s="1"/>
  <c r="AU104"/>
  <c r="AV104" s="1"/>
  <c r="AS104"/>
  <c r="AT104" s="1"/>
  <c r="AU33"/>
  <c r="AV33" s="1"/>
  <c r="AS33"/>
  <c r="AT33" s="1"/>
  <c r="AU103"/>
  <c r="AV103" s="1"/>
  <c r="AS103"/>
  <c r="AT103" s="1"/>
  <c r="AU32"/>
  <c r="AV32" s="1"/>
  <c r="AS32"/>
  <c r="AT32" s="1"/>
  <c r="AU70"/>
  <c r="AV70" s="1"/>
  <c r="AS70"/>
  <c r="AT70" s="1"/>
  <c r="AU108"/>
  <c r="AV108" s="1"/>
  <c r="AS108"/>
  <c r="AT108" s="1"/>
  <c r="AU37"/>
  <c r="AV37" s="1"/>
  <c r="AS37"/>
  <c r="AT37" s="1"/>
  <c r="AU75"/>
  <c r="AV75" s="1"/>
  <c r="AS75"/>
  <c r="AT75" s="1"/>
  <c r="AU36"/>
  <c r="AV36" s="1"/>
  <c r="AS36"/>
  <c r="AT36" s="1"/>
  <c r="AU74"/>
  <c r="AV74" s="1"/>
  <c r="AS74"/>
  <c r="AT74" s="1"/>
  <c r="AU35"/>
  <c r="AV35" s="1"/>
  <c r="AS35"/>
  <c r="AT35" s="1"/>
  <c r="AU73"/>
  <c r="AV73" s="1"/>
  <c r="AS73"/>
  <c r="AT73" s="1"/>
  <c r="AU13"/>
  <c r="AV13" s="1"/>
  <c r="AS13"/>
  <c r="AT13" s="1"/>
  <c r="AU9"/>
  <c r="AV9" s="1"/>
  <c r="AS9"/>
  <c r="AT9" s="1"/>
  <c r="AU98"/>
  <c r="AV98" s="1"/>
  <c r="AS98"/>
  <c r="AT98" s="1"/>
  <c r="AU27"/>
  <c r="AV27" s="1"/>
  <c r="AS27"/>
  <c r="AT27" s="1"/>
  <c r="AU116"/>
  <c r="AV116" s="1"/>
  <c r="AS116"/>
  <c r="AT116" s="1"/>
  <c r="AU65"/>
  <c r="AV65" s="1"/>
  <c r="AS65"/>
  <c r="AT65" s="1"/>
  <c r="AU107"/>
  <c r="AV107" s="1"/>
  <c r="AS107"/>
  <c r="AT107" s="1"/>
  <c r="AU87"/>
  <c r="AV87" s="1"/>
  <c r="AS87"/>
  <c r="AT87" s="1"/>
  <c r="AU86"/>
  <c r="AV86" s="1"/>
  <c r="AS86"/>
  <c r="AT86" s="1"/>
  <c r="AU92"/>
  <c r="AV92" s="1"/>
  <c r="AS92"/>
  <c r="AT92" s="1"/>
  <c r="AU21"/>
  <c r="AV21" s="1"/>
  <c r="AS21"/>
  <c r="AT21" s="1"/>
  <c r="AU39"/>
  <c r="AV39" s="1"/>
  <c r="AS39"/>
  <c r="AT39" s="1"/>
  <c r="AU77"/>
  <c r="AV77" s="1"/>
  <c r="AS77"/>
  <c r="AT77" s="1"/>
  <c r="AU115"/>
  <c r="AV115" s="1"/>
  <c r="AS115"/>
  <c r="AT115" s="1"/>
  <c r="AU44"/>
  <c r="AV44" s="1"/>
  <c r="AS44"/>
  <c r="AT44" s="1"/>
  <c r="AU82"/>
  <c r="AV82" s="1"/>
  <c r="AS82"/>
  <c r="AT82" s="1"/>
  <c r="AU120"/>
  <c r="AV120" s="1"/>
  <c r="AS120"/>
  <c r="AT120" s="1"/>
  <c r="AU49"/>
  <c r="AV49" s="1"/>
  <c r="AS49"/>
  <c r="AT49" s="1"/>
  <c r="AU119"/>
  <c r="AV119" s="1"/>
  <c r="AS119"/>
  <c r="AT119" s="1"/>
  <c r="AU80"/>
  <c r="AV80" s="1"/>
  <c r="AS80"/>
  <c r="AT80" s="1"/>
  <c r="AU118"/>
  <c r="AV118" s="1"/>
  <c r="AS118"/>
  <c r="AT118" s="1"/>
  <c r="AU16"/>
  <c r="AV16" s="1"/>
  <c r="AS16"/>
  <c r="AT16" s="1"/>
  <c r="AU12"/>
  <c r="AV12" s="1"/>
  <c r="AS12"/>
  <c r="AT12" s="1"/>
  <c r="AU8"/>
  <c r="AV8" s="1"/>
  <c r="AS8"/>
  <c r="AT8" s="1"/>
  <c r="L62" i="13"/>
  <c r="L64" s="1"/>
  <c r="L63"/>
  <c r="L65"/>
  <c r="AU45" i="10"/>
  <c r="AV45" s="1"/>
  <c r="AS45"/>
  <c r="AT45" s="1"/>
  <c r="AU50"/>
  <c r="AV50" s="1"/>
  <c r="AS50"/>
  <c r="AT50" s="1"/>
  <c r="AU67"/>
  <c r="AV67" s="1"/>
  <c r="AS67"/>
  <c r="AT67" s="1"/>
  <c r="AU121"/>
  <c r="AV121" s="1"/>
  <c r="AS121"/>
  <c r="AT121" s="1"/>
  <c r="AU72"/>
  <c r="AV72" s="1"/>
  <c r="AS72"/>
  <c r="AT72" s="1"/>
  <c r="AU71"/>
  <c r="AV71" s="1"/>
  <c r="AS71"/>
  <c r="AT71" s="1"/>
  <c r="AU38"/>
  <c r="AV38" s="1"/>
  <c r="AS38"/>
  <c r="AT38" s="1"/>
  <c r="AU114"/>
  <c r="AV114" s="1"/>
  <c r="AS114"/>
  <c r="AT114" s="1"/>
  <c r="AU113"/>
  <c r="AV113" s="1"/>
  <c r="AS113"/>
  <c r="AT113" s="1"/>
  <c r="AU112"/>
  <c r="AV112" s="1"/>
  <c r="AS112"/>
  <c r="AT112" s="1"/>
  <c r="AU47"/>
  <c r="AV47" s="1"/>
  <c r="AS47"/>
  <c r="AT47" s="1"/>
  <c r="AU123"/>
  <c r="AV123" s="1"/>
  <c r="AS123"/>
  <c r="AT123" s="1"/>
  <c r="AU122"/>
  <c r="AV122" s="1"/>
  <c r="AS122"/>
  <c r="AT122" s="1"/>
  <c r="AU89"/>
  <c r="AV89" s="1"/>
  <c r="AS89"/>
  <c r="AT89" s="1"/>
  <c r="AU56"/>
  <c r="AV56" s="1"/>
  <c r="AS56"/>
  <c r="AT56" s="1"/>
  <c r="AU55"/>
  <c r="AV55" s="1"/>
  <c r="AS55"/>
  <c r="AT55" s="1"/>
  <c r="AU54"/>
  <c r="AV54" s="1"/>
  <c r="AS54"/>
  <c r="AT54" s="1"/>
  <c r="AU11"/>
  <c r="AV11" s="1"/>
  <c r="AS11"/>
  <c r="AT11" s="1"/>
  <c r="AU117"/>
  <c r="AV117" s="1"/>
  <c r="AS117"/>
  <c r="AT117" s="1"/>
  <c r="AU102"/>
  <c r="AV102" s="1"/>
  <c r="AS102"/>
  <c r="AT102" s="1"/>
  <c r="AU68"/>
  <c r="AV68" s="1"/>
  <c r="AS68"/>
  <c r="AT68" s="1"/>
  <c r="AU105"/>
  <c r="AV105" s="1"/>
  <c r="AS105"/>
  <c r="AT105" s="1"/>
  <c r="AU58"/>
  <c r="AV58" s="1"/>
  <c r="AS58"/>
  <c r="AT58" s="1"/>
  <c r="AU25"/>
  <c r="AV25" s="1"/>
  <c r="AS25"/>
  <c r="AT25" s="1"/>
  <c r="AS30"/>
  <c r="AT30" s="1"/>
  <c r="AU30"/>
  <c r="AV30" s="1"/>
  <c r="AU29"/>
  <c r="AV29" s="1"/>
  <c r="AS29"/>
  <c r="AT29" s="1"/>
  <c r="AS14"/>
  <c r="AT14" s="1"/>
  <c r="AU14"/>
  <c r="AV14" s="1"/>
  <c r="I53" i="13"/>
  <c r="I54" s="1"/>
  <c r="AL88" i="10"/>
  <c r="J53" i="13"/>
  <c r="J54" s="1"/>
  <c r="H53"/>
  <c r="H54" s="1"/>
  <c r="K53"/>
  <c r="K54" s="1"/>
  <c r="F70"/>
  <c r="F69"/>
  <c r="F71" s="1"/>
  <c r="I70"/>
  <c r="I69"/>
  <c r="I73" s="1"/>
  <c r="D70"/>
  <c r="D69"/>
  <c r="D73" s="1"/>
  <c r="C70"/>
  <c r="C69"/>
  <c r="H70"/>
  <c r="H69"/>
  <c r="H73" s="1"/>
  <c r="E70"/>
  <c r="E69"/>
  <c r="E73" s="1"/>
  <c r="G70"/>
  <c r="G69"/>
  <c r="G71" s="1"/>
  <c r="J70"/>
  <c r="J69"/>
  <c r="J71" s="1"/>
  <c r="AH124" i="10"/>
  <c r="AX124" s="1"/>
  <c r="BA10" s="1"/>
  <c r="BA12" s="1"/>
  <c r="L45" i="13"/>
  <c r="K70"/>
  <c r="K69"/>
  <c r="K73" s="1"/>
  <c r="C71" l="1"/>
  <c r="C73"/>
  <c r="D71"/>
  <c r="J73"/>
  <c r="I71"/>
  <c r="H71"/>
  <c r="E71"/>
  <c r="K71"/>
  <c r="G73"/>
  <c r="F73"/>
  <c r="BA6" i="10"/>
  <c r="AJ124"/>
  <c r="L47" i="13"/>
  <c r="L69" s="1"/>
  <c r="L73" l="1"/>
  <c r="L71"/>
  <c r="BA8" i="10"/>
  <c r="BA15"/>
  <c r="L70" i="13"/>
  <c r="L72" s="1"/>
  <c r="AK124" i="10"/>
  <c r="AL124" s="1"/>
  <c r="L52" i="13"/>
  <c r="L53" l="1"/>
  <c r="L54" s="1"/>
</calcChain>
</file>

<file path=xl/comments1.xml><?xml version="1.0" encoding="utf-8"?>
<comments xmlns="http://schemas.openxmlformats.org/spreadsheetml/2006/main">
  <authors>
    <author>Amit Tandon</author>
  </authors>
  <commentList>
    <comment ref="A5" authorId="0">
      <text>
        <r>
          <rPr>
            <b/>
            <sz val="8"/>
            <color indexed="81"/>
            <rFont val="Tahoma"/>
            <charset val="1"/>
          </rPr>
          <t>Amit Tandon:</t>
        </r>
        <r>
          <rPr>
            <sz val="8"/>
            <color indexed="81"/>
            <rFont val="Tahoma"/>
            <charset val="1"/>
          </rPr>
          <t xml:space="preserve">
Include any "Due Diligence and Closing Costs", "Regn. Expenses", or any "Loan Fees".</t>
        </r>
      </text>
    </comment>
    <comment ref="A7" authorId="0">
      <text>
        <r>
          <rPr>
            <b/>
            <sz val="8"/>
            <color indexed="81"/>
            <rFont val="Tahoma"/>
            <family val="2"/>
          </rPr>
          <t>Amit Tandon:</t>
        </r>
        <r>
          <rPr>
            <sz val="8"/>
            <color indexed="81"/>
            <rFont val="Tahoma"/>
            <family val="2"/>
          </rPr>
          <t xml:space="preserve">
Date format: mm/dd/yyyy.</t>
        </r>
      </text>
    </comment>
    <comment ref="C7" authorId="0">
      <text>
        <r>
          <rPr>
            <b/>
            <sz val="8"/>
            <color indexed="81"/>
            <rFont val="Tahoma"/>
            <family val="2"/>
          </rPr>
          <t>Amit Tandon:</t>
        </r>
        <r>
          <rPr>
            <sz val="8"/>
            <color indexed="81"/>
            <rFont val="Tahoma"/>
            <family val="2"/>
          </rPr>
          <t xml:space="preserve">
Enter a valid date later than 01 Jan, 2000.</t>
        </r>
      </text>
    </comment>
    <comment ref="G8" authorId="0">
      <text>
        <r>
          <rPr>
            <b/>
            <sz val="8"/>
            <color indexed="81"/>
            <rFont val="Tahoma"/>
            <charset val="1"/>
          </rPr>
          <t>Amit Tandon:</t>
        </r>
        <r>
          <rPr>
            <sz val="8"/>
            <color indexed="81"/>
            <rFont val="Tahoma"/>
            <charset val="1"/>
          </rPr>
          <t xml:space="preserve">
Effective annually from date of Starting Month No. of the expense.</t>
        </r>
      </text>
    </comment>
    <comment ref="A10" authorId="0">
      <text>
        <r>
          <rPr>
            <b/>
            <sz val="8"/>
            <color indexed="81"/>
            <rFont val="Tahoma"/>
            <family val="2"/>
          </rPr>
          <t>Amit Tandon:</t>
        </r>
        <r>
          <rPr>
            <sz val="8"/>
            <color indexed="81"/>
            <rFont val="Tahoma"/>
            <family val="2"/>
          </rPr>
          <t xml:space="preserve">
Presumed that loan is taken initially for purchase and balance of "Total Initial Cost" is the "Down Payment".
Model will calaculate "Leveraged" ratios and cash flows in case of +ive loan amount. To calculate "Unleveraged" ratios and cash flows, enter "Loan Amount" as zero.</t>
        </r>
      </text>
    </comment>
    <comment ref="G11" authorId="0">
      <text>
        <r>
          <rPr>
            <b/>
            <sz val="8"/>
            <color indexed="81"/>
            <rFont val="Tahoma"/>
            <family val="2"/>
          </rPr>
          <t>Amit Tandon:</t>
        </r>
        <r>
          <rPr>
            <sz val="8"/>
            <color indexed="81"/>
            <rFont val="Tahoma"/>
            <family val="2"/>
          </rPr>
          <t xml:space="preserve">
Effective annually from date of Starting Month No. of the expense.</t>
        </r>
      </text>
    </comment>
    <comment ref="A14" authorId="0">
      <text>
        <r>
          <rPr>
            <b/>
            <sz val="8"/>
            <color indexed="81"/>
            <rFont val="Tahoma"/>
            <charset val="1"/>
          </rPr>
          <t>Amit Tandon:</t>
        </r>
        <r>
          <rPr>
            <sz val="8"/>
            <color indexed="81"/>
            <rFont val="Tahoma"/>
            <charset val="1"/>
          </rPr>
          <t xml:space="preserve">
Presumed to start wef from the Purchase Date.</t>
        </r>
      </text>
    </comment>
    <comment ref="G14" authorId="0">
      <text>
        <r>
          <rPr>
            <b/>
            <sz val="8"/>
            <color indexed="81"/>
            <rFont val="Tahoma"/>
            <charset val="1"/>
          </rPr>
          <t>Amit Tandon:</t>
        </r>
        <r>
          <rPr>
            <sz val="8"/>
            <color indexed="81"/>
            <rFont val="Tahoma"/>
            <charset val="1"/>
          </rPr>
          <t xml:space="preserve">
Effective annually from date of Starting Month No. of the expense.</t>
        </r>
      </text>
    </comment>
    <comment ref="G17" authorId="0">
      <text>
        <r>
          <rPr>
            <b/>
            <sz val="8"/>
            <color indexed="81"/>
            <rFont val="Tahoma"/>
            <family val="2"/>
          </rPr>
          <t>Amit Tandon:</t>
        </r>
        <r>
          <rPr>
            <sz val="8"/>
            <color indexed="81"/>
            <rFont val="Tahoma"/>
            <family val="2"/>
          </rPr>
          <t xml:space="preserve">
Effective annually from date of Starting Month No. of the expense.</t>
        </r>
      </text>
    </comment>
    <comment ref="A18" authorId="0">
      <text>
        <r>
          <rPr>
            <b/>
            <sz val="8"/>
            <color indexed="81"/>
            <rFont val="Tahoma"/>
            <family val="2"/>
          </rPr>
          <t>Amit Tandon:</t>
        </r>
        <r>
          <rPr>
            <sz val="8"/>
            <color indexed="81"/>
            <rFont val="Tahoma"/>
            <family val="2"/>
          </rPr>
          <t xml:space="preserve">
%age of Rent.</t>
        </r>
      </text>
    </comment>
    <comment ref="G20" authorId="0">
      <text>
        <r>
          <rPr>
            <b/>
            <sz val="8"/>
            <color indexed="81"/>
            <rFont val="Tahoma"/>
            <charset val="1"/>
          </rPr>
          <t>Amit Tandon:</t>
        </r>
        <r>
          <rPr>
            <sz val="8"/>
            <color indexed="81"/>
            <rFont val="Tahoma"/>
            <charset val="1"/>
          </rPr>
          <t xml:space="preserve">
Effective annually from date of Starting Month No. of the expense.</t>
        </r>
      </text>
    </comment>
    <comment ref="A21" authorId="0">
      <text>
        <r>
          <rPr>
            <b/>
            <sz val="8"/>
            <color indexed="81"/>
            <rFont val="Tahoma"/>
            <family val="2"/>
          </rPr>
          <t>Amit Tandon:</t>
        </r>
        <r>
          <rPr>
            <sz val="8"/>
            <color indexed="81"/>
            <rFont val="Tahoma"/>
            <family val="2"/>
          </rPr>
          <t xml:space="preserve">
%age of Building (depreciable portion) to "Total Initial Cost" (Purchase Price plus Initial Capital Exp plus Purchase Costs).</t>
        </r>
      </text>
    </comment>
    <comment ref="G23" authorId="0">
      <text>
        <r>
          <rPr>
            <b/>
            <sz val="8"/>
            <color indexed="81"/>
            <rFont val="Tahoma"/>
            <family val="2"/>
          </rPr>
          <t>Amit Tandon:</t>
        </r>
        <r>
          <rPr>
            <sz val="8"/>
            <color indexed="81"/>
            <rFont val="Tahoma"/>
            <family val="2"/>
          </rPr>
          <t xml:space="preserve">
Effective annually from date of Starting Month No. of the expense.</t>
        </r>
      </text>
    </comment>
    <comment ref="A24" authorId="0">
      <text>
        <r>
          <rPr>
            <b/>
            <sz val="8"/>
            <color indexed="81"/>
            <rFont val="Tahoma"/>
            <family val="2"/>
          </rPr>
          <t>Amit Tandon:</t>
        </r>
        <r>
          <rPr>
            <sz val="8"/>
            <color indexed="81"/>
            <rFont val="Tahoma"/>
            <family val="2"/>
          </rPr>
          <t xml:space="preserve">
Straight Line Depreciation: 27.5 years for residential income property &amp; 39 years for commercial income property. Alternatively, select any other "no. of years".</t>
        </r>
      </text>
    </comment>
    <comment ref="G26" authorId="0">
      <text>
        <r>
          <rPr>
            <b/>
            <sz val="8"/>
            <color indexed="81"/>
            <rFont val="Tahoma"/>
            <charset val="1"/>
          </rPr>
          <t>Amit Tandon:</t>
        </r>
        <r>
          <rPr>
            <sz val="8"/>
            <color indexed="81"/>
            <rFont val="Tahoma"/>
            <charset val="1"/>
          </rPr>
          <t xml:space="preserve">
%age of Gross Income ie. "Rent" minus "Vacancy &amp; Credit Loss".</t>
        </r>
      </text>
    </comment>
    <comment ref="A28" authorId="0">
      <text>
        <r>
          <rPr>
            <b/>
            <sz val="8"/>
            <color indexed="81"/>
            <rFont val="Tahoma"/>
            <charset val="1"/>
          </rPr>
          <t>Amit Tandon:</t>
        </r>
        <r>
          <rPr>
            <sz val="8"/>
            <color indexed="81"/>
            <rFont val="Tahoma"/>
            <charset val="1"/>
          </rPr>
          <t xml:space="preserve">
For determination of Terminal Value. Terminal Value = NOI/Cap Rate. Terminal Value is calculated based on the following years' NOI. It is also calculated net of "cost of sale".
The Cap Rate is a ratio that places a value on a property based on the net operating income (NOI) it generates which allows for a comparison of properties with different Fair Market Values (FMV).  The Cap Rate is computed by taking the rental NOI and dividing it by the property's FMV. 
Let's say that your property generates $30,000 of annual net operating income.  Your real estate agent tells you that the Capitalization Rate in your area is approximately 10%.  That would mean that the approximate fair market value of your property is $300,000 ($30,000 ÷ .10).</t>
        </r>
      </text>
    </comment>
    <comment ref="C28" authorId="0">
      <text>
        <r>
          <rPr>
            <b/>
            <sz val="8"/>
            <color indexed="81"/>
            <rFont val="Tahoma"/>
            <charset val="1"/>
          </rPr>
          <t>Amit Tandon:</t>
        </r>
        <r>
          <rPr>
            <sz val="8"/>
            <color indexed="81"/>
            <rFont val="Tahoma"/>
            <charset val="1"/>
          </rPr>
          <t xml:space="preserve">
Should be greater than 0.75% to enable Sensitivity Analysis.</t>
        </r>
      </text>
    </comment>
    <comment ref="G28" authorId="0">
      <text>
        <r>
          <rPr>
            <b/>
            <sz val="8"/>
            <color indexed="81"/>
            <rFont val="Tahoma"/>
            <charset val="1"/>
          </rPr>
          <t>Amit Tandon:</t>
        </r>
        <r>
          <rPr>
            <sz val="8"/>
            <color indexed="81"/>
            <rFont val="Tahoma"/>
            <charset val="1"/>
          </rPr>
          <t xml:space="preserve">
%age of Gross Income ie. "Rent" minus "Vacancy &amp; Credit Loss".</t>
        </r>
      </text>
    </comment>
    <comment ref="A29" authorId="0">
      <text>
        <r>
          <rPr>
            <b/>
            <sz val="8"/>
            <color indexed="81"/>
            <rFont val="Tahoma"/>
            <charset val="1"/>
          </rPr>
          <t>Amit Tandon:</t>
        </r>
        <r>
          <rPr>
            <sz val="8"/>
            <color indexed="81"/>
            <rFont val="Tahoma"/>
            <charset val="1"/>
          </rPr>
          <t xml:space="preserve">
Appreciation calculated on "Total Initial Cost". </t>
        </r>
      </text>
    </comment>
    <comment ref="G30" authorId="0">
      <text>
        <r>
          <rPr>
            <b/>
            <sz val="8"/>
            <color indexed="81"/>
            <rFont val="Tahoma"/>
            <charset val="1"/>
          </rPr>
          <t>Amit Tandon:</t>
        </r>
        <r>
          <rPr>
            <sz val="8"/>
            <color indexed="81"/>
            <rFont val="Tahoma"/>
            <charset val="1"/>
          </rPr>
          <t xml:space="preserve">
%age of Gross Income ie. "Rent" minus "Vacancy &amp; Credit Loss".</t>
        </r>
      </text>
    </comment>
    <comment ref="A31" authorId="0">
      <text>
        <r>
          <rPr>
            <b/>
            <sz val="8"/>
            <color indexed="81"/>
            <rFont val="Tahoma"/>
            <family val="2"/>
          </rPr>
          <t>Amit Tandon:</t>
        </r>
        <r>
          <rPr>
            <sz val="8"/>
            <color indexed="81"/>
            <rFont val="Tahoma"/>
            <family val="2"/>
          </rPr>
          <t xml:space="preserve">
Select Option: Terminal Value: Option 1 is  Mkt Value based on Annual Appreciation, Option 2 is Mkt Value based on Cap Rate.</t>
        </r>
      </text>
    </comment>
    <comment ref="A33" authorId="0">
      <text>
        <r>
          <rPr>
            <b/>
            <sz val="8"/>
            <color indexed="81"/>
            <rFont val="Tahoma"/>
            <charset val="1"/>
          </rPr>
          <t>Amit Tandon:</t>
        </r>
        <r>
          <rPr>
            <sz val="8"/>
            <color indexed="81"/>
            <rFont val="Tahoma"/>
            <charset val="1"/>
          </rPr>
          <t xml:space="preserve">
Investor's tax bracket, specific to Tax Payer.</t>
        </r>
      </text>
    </comment>
    <comment ref="A36" authorId="0">
      <text>
        <r>
          <rPr>
            <b/>
            <sz val="8"/>
            <color indexed="81"/>
            <rFont val="Tahoma"/>
            <charset val="1"/>
          </rPr>
          <t>Amit Tandon:</t>
        </r>
        <r>
          <rPr>
            <sz val="8"/>
            <color indexed="81"/>
            <rFont val="Tahoma"/>
            <charset val="1"/>
          </rPr>
          <t xml:space="preserve">
A significant problem with the Internal Rate of Return (IRR) calculation is that the formula assumes that you are reinvesting the annual cash flow at the same rate as calculated by the IRR. As a result, when you have a property that generates significant cash flow, the calculated IRR will overstate the likely financial return of the property. MIRR (modified IRR) allows you to enter a different rate that is applied to the property's annual cash flow. MIRR allows you to enter what rate of return you think you will make on your cash flows.
The finance rate is the interest rate that you would pay to cover any negative cash flows incurred during the life of the investment.
The reinvestment rate is the interest rate that you would earn on cash that the investment generates during its life. 
</t>
        </r>
      </text>
    </comment>
  </commentList>
</comments>
</file>

<file path=xl/comments2.xml><?xml version="1.0" encoding="utf-8"?>
<comments xmlns="http://schemas.openxmlformats.org/spreadsheetml/2006/main">
  <authors>
    <author>Amit Tandon</author>
  </authors>
  <commentList>
    <comment ref="Q2" authorId="0">
      <text>
        <r>
          <rPr>
            <b/>
            <sz val="8"/>
            <color indexed="81"/>
            <rFont val="Tahoma"/>
            <charset val="1"/>
          </rPr>
          <t>Amit Tandon:</t>
        </r>
        <r>
          <rPr>
            <sz val="8"/>
            <color indexed="81"/>
            <rFont val="Tahoma"/>
            <charset val="1"/>
          </rPr>
          <t xml:space="preserve">
Net operating income (NOI) is the net cash generated before mortgage payments, and taxes. Excludes Depreciation.</t>
        </r>
      </text>
    </comment>
    <comment ref="X2" authorId="0">
      <text>
        <r>
          <rPr>
            <b/>
            <sz val="8"/>
            <color indexed="81"/>
            <rFont val="Tahoma"/>
            <family val="2"/>
          </rPr>
          <t>Amit Tandon:</t>
        </r>
        <r>
          <rPr>
            <sz val="8"/>
            <color indexed="81"/>
            <rFont val="Tahoma"/>
            <family val="2"/>
          </rPr>
          <t xml:space="preserve">
Appreciation calculated on "Total Initial Cost". Proportionate monthly amount.
</t>
        </r>
      </text>
    </comment>
    <comment ref="Z2" authorId="0">
      <text>
        <r>
          <rPr>
            <b/>
            <sz val="8"/>
            <color indexed="81"/>
            <rFont val="Tahoma"/>
            <family val="2"/>
          </rPr>
          <t>Amit Tandon:</t>
        </r>
        <r>
          <rPr>
            <sz val="8"/>
            <color indexed="81"/>
            <rFont val="Tahoma"/>
            <family val="2"/>
          </rPr>
          <t xml:space="preserve">
Market Value = Annual NOI/Cap Rate.
Terminal Value is calculated at the end of each month, based on the following years' NOI. It is calculated net of "cost of sale".</t>
        </r>
      </text>
    </comment>
    <comment ref="AA2" authorId="0">
      <text>
        <r>
          <rPr>
            <b/>
            <sz val="8"/>
            <color indexed="81"/>
            <rFont val="Tahoma"/>
            <family val="2"/>
          </rPr>
          <t>Amit Tandon:</t>
        </r>
        <r>
          <rPr>
            <sz val="8"/>
            <color indexed="81"/>
            <rFont val="Tahoma"/>
            <family val="2"/>
          </rPr>
          <t xml:space="preserve">
Terminal Value: Option 1 is  Mkt Value based on Annual Appreciation, Option 2 is Mkt Value based on Cap Rate.
</t>
        </r>
      </text>
    </comment>
    <comment ref="AC2" authorId="0">
      <text>
        <r>
          <rPr>
            <b/>
            <sz val="8"/>
            <color indexed="81"/>
            <rFont val="Tahoma"/>
            <family val="2"/>
          </rPr>
          <t>Amit Tandon:</t>
        </r>
        <r>
          <rPr>
            <sz val="8"/>
            <color indexed="81"/>
            <rFont val="Tahoma"/>
            <family val="2"/>
          </rPr>
          <t xml:space="preserve">
Proportionate monthly amount.
</t>
        </r>
      </text>
    </comment>
    <comment ref="AJ2" authorId="0">
      <text>
        <r>
          <rPr>
            <b/>
            <sz val="8"/>
            <color indexed="81"/>
            <rFont val="Tahoma"/>
            <family val="2"/>
          </rPr>
          <t>Amit Tandon:</t>
        </r>
        <r>
          <rPr>
            <sz val="8"/>
            <color indexed="81"/>
            <rFont val="Tahoma"/>
            <family val="2"/>
          </rPr>
          <t xml:space="preserve">
As of each month end.
Terminal Value after CG Tax minus Total Initial Cost.</t>
        </r>
      </text>
    </comment>
    <comment ref="AK2" authorId="0">
      <text>
        <r>
          <rPr>
            <b/>
            <sz val="8"/>
            <color indexed="81"/>
            <rFont val="Tahoma"/>
            <family val="2"/>
          </rPr>
          <t>Amit Tandon:</t>
        </r>
        <r>
          <rPr>
            <sz val="8"/>
            <color indexed="81"/>
            <rFont val="Tahoma"/>
            <family val="2"/>
          </rPr>
          <t xml:space="preserve">
Annual Values (at each month end) based on preceding 12 mths. 
NOI minus Mortgage Interest minus Income Tax plus Net Gain in Cap Value (ie. Gain in Cap Value minus CG Tax).</t>
        </r>
      </text>
    </comment>
    <comment ref="AL2" authorId="0">
      <text>
        <r>
          <rPr>
            <b/>
            <sz val="8"/>
            <color indexed="81"/>
            <rFont val="Tahoma"/>
            <charset val="1"/>
          </rPr>
          <t>Amit Tandon:</t>
        </r>
        <r>
          <rPr>
            <sz val="8"/>
            <color indexed="81"/>
            <rFont val="Tahoma"/>
            <charset val="1"/>
          </rPr>
          <t xml:space="preserve">
Return on Investment is a measure of what percent of your initial investment you will get back each year. This return is similar to computing an implied interest rate that you will receive for your investment.
Yearly ROI (calculated at each month end in re. of preceding 12 mths NOI). 
Calculated as: 
NOI minus Mortgage Interest minus Income Tax plus Gain in Cap Value minus CG Tax / Initial Equity Investment (down payment)
</t>
        </r>
      </text>
    </comment>
    <comment ref="AM2" authorId="0">
      <text>
        <r>
          <rPr>
            <b/>
            <sz val="8"/>
            <color indexed="81"/>
            <rFont val="Tahoma"/>
            <charset val="1"/>
          </rPr>
          <t>Amit Tandon:</t>
        </r>
        <r>
          <rPr>
            <sz val="8"/>
            <color indexed="81"/>
            <rFont val="Tahoma"/>
            <charset val="1"/>
          </rPr>
          <t xml:space="preserve">
Cash on Cash Return is a percentage that measures the return on cash invested in an income producing property. Cash on Cash Return takes into account CFBT/ initial cash investment. 
Cash on Cash Return calculates:
(i) Yearly Net Cash Inflow before Tax ie. NOI minus annual debt service (mortgage payments of P &amp; I), against
(ii) Initial Cash Outflow ie. Down Payment plus Loan Points plus Closing Costs. 
Formula: Cash on Cash Return = Before Tax Cash Flow/Cash Invested
Shortcoming: It only considers before-tax cash flow and doesn’t take into account an investors individual income tax situation and it doesn’t consider the wealth building potential of a property via appreciation. A property in one area of a city may have a better Cash on Cash Return then a property in another location, but it may not appreciate as fast because of it’s location. </t>
        </r>
      </text>
    </comment>
    <comment ref="AN2" authorId="0">
      <text>
        <r>
          <rPr>
            <b/>
            <sz val="8"/>
            <color indexed="81"/>
            <rFont val="Tahoma"/>
            <family val="2"/>
          </rPr>
          <t>Amit Tandon:</t>
        </r>
        <r>
          <rPr>
            <sz val="8"/>
            <color indexed="81"/>
            <rFont val="Tahoma"/>
            <family val="2"/>
          </rPr>
          <t xml:space="preserve">
NOI / Total Initial Cost.</t>
        </r>
      </text>
    </comment>
    <comment ref="AO2" authorId="0">
      <text>
        <r>
          <rPr>
            <b/>
            <sz val="8"/>
            <color indexed="81"/>
            <rFont val="Tahoma"/>
            <charset val="1"/>
          </rPr>
          <t>Amit Tandon:</t>
        </r>
        <r>
          <rPr>
            <sz val="8"/>
            <color indexed="81"/>
            <rFont val="Tahoma"/>
            <charset val="1"/>
          </rPr>
          <t xml:space="preserve">
Debt Coverage Ratio = NOI/Debt Service.
Debt service is the total of all interest and principal paid on a loan in a given year. It is equal to the monthly mortgage payment times 12.
Debt coverage ratio of less than 1 (e.g. .75) indicates that there is not enough cash flow to pay the property's rental expenses and have enough left over to pay mortgage payments. Obviously, a lender will not be willing to loan you money to purchase a property not generating enough cash to pay him back.  
Lenders and investors use the debt coverage ratio to measure a property's ability to pay it's operating expenses and mortgage payments. A debt coverage ratio of 1 is breakeven. Most lenders require minimum of 1.1 to 1.3 to be considered for a commercial loan. From a a bank's perspective, the larger the debt coverage ratio, the better. </t>
        </r>
      </text>
    </comment>
    <comment ref="AQ2" authorId="0">
      <text>
        <r>
          <rPr>
            <b/>
            <sz val="8"/>
            <color indexed="81"/>
            <rFont val="Tahoma"/>
            <charset val="1"/>
          </rPr>
          <t>Amit Tandon:</t>
        </r>
        <r>
          <rPr>
            <sz val="8"/>
            <color indexed="81"/>
            <rFont val="Tahoma"/>
            <charset val="1"/>
          </rPr>
          <t xml:space="preserve">
Month 0: Initial Investment or Down Payment.
Subsequent Months: NOI minus Debt Service (P&amp;I).
</t>
        </r>
      </text>
    </comment>
    <comment ref="AR2" authorId="0">
      <text>
        <r>
          <rPr>
            <b/>
            <sz val="8"/>
            <color indexed="81"/>
            <rFont val="Tahoma"/>
            <family val="2"/>
          </rPr>
          <t>Amit Tandon:</t>
        </r>
        <r>
          <rPr>
            <sz val="8"/>
            <color indexed="81"/>
            <rFont val="Tahoma"/>
            <family val="2"/>
          </rPr>
          <t xml:space="preserve">
NOI minus Debt Service (P&amp;I) plus Terminal Value minus o/s Mortgage Balance.</t>
        </r>
      </text>
    </comment>
    <comment ref="AX2" authorId="0">
      <text>
        <r>
          <rPr>
            <b/>
            <sz val="8"/>
            <color indexed="81"/>
            <rFont val="Tahoma"/>
            <charset val="1"/>
          </rPr>
          <t>Amit Tandon:</t>
        </r>
        <r>
          <rPr>
            <sz val="8"/>
            <color indexed="81"/>
            <rFont val="Tahoma"/>
            <charset val="1"/>
          </rPr>
          <t xml:space="preserve">
Month 0: Initial Investment or Down Paymewnt.
Subsequent Months: NOI minus Debt Service (P&amp;I) minus Income Tax.
Terminal Month: NOI minus Debt Service (P&amp;I) minus Income Tax plus Terminal Value minus o/s Mortgage Balance minus CG Tax.</t>
        </r>
      </text>
    </comment>
    <comment ref="AY2" authorId="0">
      <text>
        <r>
          <rPr>
            <b/>
            <sz val="8"/>
            <color indexed="81"/>
            <rFont val="Tahoma"/>
            <family val="2"/>
          </rPr>
          <t>Amit Tandon:</t>
        </r>
        <r>
          <rPr>
            <sz val="8"/>
            <color indexed="81"/>
            <rFont val="Tahoma"/>
            <family val="2"/>
          </rPr>
          <t xml:space="preserve">
Should give similar result as Annual IRR.</t>
        </r>
      </text>
    </comment>
    <comment ref="AZ2" authorId="0">
      <text>
        <r>
          <rPr>
            <b/>
            <sz val="8"/>
            <color indexed="81"/>
            <rFont val="Tahoma"/>
            <family val="2"/>
          </rPr>
          <t>Amit Tandon:</t>
        </r>
        <r>
          <rPr>
            <sz val="8"/>
            <color indexed="81"/>
            <rFont val="Tahoma"/>
            <family val="2"/>
          </rPr>
          <t xml:space="preserve">
Model will calaculate "Leveraged" ratios and cash flows in case of +ive loan amount. To calculate "Unleveraged" ratios and cash flows, enter "Loan Amount" as zero.</t>
        </r>
      </text>
    </comment>
    <comment ref="U3" authorId="0">
      <text>
        <r>
          <rPr>
            <b/>
            <sz val="8"/>
            <color indexed="81"/>
            <rFont val="Tahoma"/>
            <charset val="1"/>
          </rPr>
          <t>Amit Tandon:</t>
        </r>
        <r>
          <rPr>
            <sz val="8"/>
            <color indexed="81"/>
            <rFont val="Tahoma"/>
            <charset val="1"/>
          </rPr>
          <t xml:space="preserve">
Loan Constant (mthly).</t>
        </r>
      </text>
    </comment>
    <comment ref="AZ4" authorId="0">
      <text>
        <r>
          <rPr>
            <b/>
            <sz val="8"/>
            <color indexed="81"/>
            <rFont val="Tahoma"/>
            <family val="2"/>
          </rPr>
          <t>Amit Tandon:</t>
        </r>
        <r>
          <rPr>
            <sz val="8"/>
            <color indexed="81"/>
            <rFont val="Tahoma"/>
            <family val="2"/>
          </rPr>
          <t xml:space="preserve">
Select Month No. as of when IRR (after tax) is required.</t>
        </r>
      </text>
    </comment>
  </commentList>
</comments>
</file>

<file path=xl/comments3.xml><?xml version="1.0" encoding="utf-8"?>
<comments xmlns="http://schemas.openxmlformats.org/spreadsheetml/2006/main">
  <authors>
    <author>Amit Tandon</author>
  </authors>
  <commentList>
    <comment ref="H3" authorId="0">
      <text>
        <r>
          <rPr>
            <b/>
            <sz val="8"/>
            <color indexed="81"/>
            <rFont val="Tahoma"/>
            <charset val="1"/>
          </rPr>
          <t>Amit Tandon:</t>
        </r>
        <r>
          <rPr>
            <sz val="8"/>
            <color indexed="81"/>
            <rFont val="Tahoma"/>
            <charset val="1"/>
          </rPr>
          <t xml:space="preserve">
Should be greater than 0.75% to enable Sensitivity Analysis.</t>
        </r>
      </text>
    </comment>
    <comment ref="P3" authorId="0">
      <text>
        <r>
          <rPr>
            <b/>
            <sz val="8"/>
            <color indexed="81"/>
            <rFont val="Tahoma"/>
            <charset val="1"/>
          </rPr>
          <t>Amit Tandon:</t>
        </r>
        <r>
          <rPr>
            <sz val="8"/>
            <color indexed="81"/>
            <rFont val="Tahoma"/>
            <charset val="1"/>
          </rPr>
          <t xml:space="preserve">
Should be greater than 0.75% to enable Sensitivity Analysis.</t>
        </r>
      </text>
    </comment>
    <comment ref="X3" authorId="0">
      <text>
        <r>
          <rPr>
            <b/>
            <sz val="8"/>
            <color indexed="81"/>
            <rFont val="Tahoma"/>
            <charset val="1"/>
          </rPr>
          <t>Amit Tandon:</t>
        </r>
        <r>
          <rPr>
            <sz val="8"/>
            <color indexed="81"/>
            <rFont val="Tahoma"/>
            <charset val="1"/>
          </rPr>
          <t xml:space="preserve">
Should be greater than 0.75% to enable Sensitivity Analysis.</t>
        </r>
      </text>
    </comment>
  </commentList>
</comments>
</file>

<file path=xl/comments4.xml><?xml version="1.0" encoding="utf-8"?>
<comments xmlns="http://schemas.openxmlformats.org/spreadsheetml/2006/main">
  <authors>
    <author>Amit Tandon</author>
  </authors>
  <commentList>
    <comment ref="A23" authorId="0">
      <text>
        <r>
          <rPr>
            <b/>
            <sz val="8"/>
            <color indexed="81"/>
            <rFont val="Tahoma"/>
            <charset val="1"/>
          </rPr>
          <t>Amit Tandon:</t>
        </r>
        <r>
          <rPr>
            <sz val="8"/>
            <color indexed="81"/>
            <rFont val="Tahoma"/>
            <charset val="1"/>
          </rPr>
          <t xml:space="preserve">
Net operating income (NOI) is the net cash generated before mortgage payments, and taxes. Excludes Depreciation.</t>
        </r>
      </text>
    </comment>
    <comment ref="A33" authorId="0">
      <text>
        <r>
          <rPr>
            <b/>
            <sz val="8"/>
            <color indexed="81"/>
            <rFont val="Tahoma"/>
            <charset val="1"/>
          </rPr>
          <t>Amit Tandon:</t>
        </r>
        <r>
          <rPr>
            <sz val="8"/>
            <color indexed="81"/>
            <rFont val="Tahoma"/>
            <charset val="1"/>
          </rPr>
          <t xml:space="preserve">
Appreciation calculated on "Total Initial Cost".</t>
        </r>
      </text>
    </comment>
    <comment ref="A35" authorId="0">
      <text>
        <r>
          <rPr>
            <b/>
            <sz val="8"/>
            <color indexed="81"/>
            <rFont val="Tahoma"/>
            <charset val="1"/>
          </rPr>
          <t>Amit Tandon:</t>
        </r>
        <r>
          <rPr>
            <sz val="8"/>
            <color indexed="81"/>
            <rFont val="Tahoma"/>
            <charset val="1"/>
          </rPr>
          <t xml:space="preserve">
Market Value = Annual NOI/Cap Rate.
Calculation based on the following years' NOI. It is calculated net of "cost of sale".</t>
        </r>
      </text>
    </comment>
    <comment ref="A36" authorId="0">
      <text>
        <r>
          <rPr>
            <b/>
            <sz val="8"/>
            <color indexed="81"/>
            <rFont val="Tahoma"/>
            <charset val="1"/>
          </rPr>
          <t>Amit Tandon:</t>
        </r>
        <r>
          <rPr>
            <sz val="8"/>
            <color indexed="81"/>
            <rFont val="Tahoma"/>
            <charset val="1"/>
          </rPr>
          <t xml:space="preserve">
Terminal Value: Option 1 is  Mkt Value based on Annual Appreciation, Option 2 is Mkt Value based on Cap Rate.
</t>
        </r>
      </text>
    </comment>
    <comment ref="A52" authorId="0">
      <text>
        <r>
          <rPr>
            <b/>
            <sz val="8"/>
            <color indexed="81"/>
            <rFont val="Tahoma"/>
            <charset val="1"/>
          </rPr>
          <t>Amit Tandon:</t>
        </r>
        <r>
          <rPr>
            <sz val="8"/>
            <color indexed="81"/>
            <rFont val="Tahoma"/>
            <charset val="1"/>
          </rPr>
          <t xml:space="preserve">
Terminal Value after CG Tax minus Total Initial Cost.</t>
        </r>
      </text>
    </comment>
    <comment ref="A53" authorId="0">
      <text>
        <r>
          <rPr>
            <b/>
            <sz val="8"/>
            <color indexed="81"/>
            <rFont val="Tahoma"/>
            <charset val="1"/>
          </rPr>
          <t>Amit Tandon:</t>
        </r>
        <r>
          <rPr>
            <sz val="8"/>
            <color indexed="81"/>
            <rFont val="Tahoma"/>
            <charset val="1"/>
          </rPr>
          <t xml:space="preserve">
Annual Values based on preceding 12 mths. 
NOI minus Mortgage Interest minus Income Tax plus Net Gain in Cap Value (ie. Gain in Cap Value minus CG Tax).</t>
        </r>
      </text>
    </comment>
    <comment ref="A54" authorId="0">
      <text>
        <r>
          <rPr>
            <b/>
            <sz val="8"/>
            <color indexed="81"/>
            <rFont val="Tahoma"/>
            <charset val="1"/>
          </rPr>
          <t>Amit Tandon:</t>
        </r>
        <r>
          <rPr>
            <sz val="8"/>
            <color indexed="81"/>
            <rFont val="Tahoma"/>
            <charset val="1"/>
          </rPr>
          <t xml:space="preserve">
Return on Investment is a measure of what percent of your initial investment you will get back each year. This return is similar to computing an implied interest rate that you will receive for your investment.
Yearly ROI is calculated in re. of preceding 12 mths NOI. 
Calculated as: 
NOI minus Mortgage Interest minus Income Tax plus Gain in Cap Value minus CG Tax / Initial Equity Investment (down payment)
</t>
        </r>
      </text>
    </comment>
    <comment ref="A55" authorId="0">
      <text>
        <r>
          <rPr>
            <b/>
            <sz val="8"/>
            <color indexed="81"/>
            <rFont val="Tahoma"/>
            <charset val="1"/>
          </rPr>
          <t>Amit Tandon:</t>
        </r>
        <r>
          <rPr>
            <sz val="8"/>
            <color indexed="81"/>
            <rFont val="Tahoma"/>
            <charset val="1"/>
          </rPr>
          <t xml:space="preserve">
Cash on Cash Return is a percentage that measures the return on cash invested in an income producing property. Cash on Cash Return takes into account CFBT/ initial cash investment. 
Cash on Cash Return calculates:
(i) Yearly Net Cash Inflow before Tax ie. NOI minus annual debt service (mortgage payments of P &amp; I), against
(ii) Initial Cash Outflow ie. Down Payment plus Loan Points plus Closing Costs. 
Formula: Cash on Cash Return = Before Tax Cash Flow/Cash Invested
Shortcoming: It only considers before-tax cash flow and doesn’t take into account an investors individual income tax situation and it doesn’t consider the wealth building potential of a property via appreciation. A property in one area of a city may have a better Cash on Cash Return then a property in another location, but it may not appreciate as fast because of it’s location. </t>
        </r>
      </text>
    </comment>
    <comment ref="A56" authorId="0">
      <text>
        <r>
          <rPr>
            <b/>
            <sz val="8"/>
            <color indexed="81"/>
            <rFont val="Tahoma"/>
            <charset val="1"/>
          </rPr>
          <t>Amit Tandon:</t>
        </r>
        <r>
          <rPr>
            <sz val="8"/>
            <color indexed="81"/>
            <rFont val="Tahoma"/>
            <charset val="1"/>
          </rPr>
          <t xml:space="preserve">
NOI / Total Initial Cost.</t>
        </r>
      </text>
    </comment>
    <comment ref="A57" authorId="0">
      <text>
        <r>
          <rPr>
            <b/>
            <sz val="8"/>
            <color indexed="81"/>
            <rFont val="Tahoma"/>
            <charset val="1"/>
          </rPr>
          <t>Amit Tandon:</t>
        </r>
        <r>
          <rPr>
            <sz val="8"/>
            <color indexed="81"/>
            <rFont val="Tahoma"/>
            <charset val="1"/>
          </rPr>
          <t xml:space="preserve">
Debt Coverage Ratio = NOI/Debt Service.
Debt service is the total of all interest and principal paid on a loan in a given year. It is equal to the monthly mortgage payment times 12.
Debt coverage ratio of less than 1 (e.g. .75) indicates that there is not enough cash flow to pay the property's rental expenses and have enough left over to pay mortgage payments. Obviously, a lender will not be willing to loan you money to purchase a property not generating enough cash to pay him back.  
Lenders and investors use the debt coverage ratio to measure a property's ability to pay it's operating expenses and mortgage payments. A debt coverage ratio of 1 is breakeven. Most lenders require minimum of 1.1 to 1.3 to be considered for a commercial loan. From a a bank's perspective, the larger the debt coverage ratio, the better. </t>
        </r>
      </text>
    </comment>
    <comment ref="A60" authorId="0">
      <text>
        <r>
          <rPr>
            <b/>
            <sz val="8"/>
            <color indexed="81"/>
            <rFont val="Tahoma"/>
            <charset val="1"/>
          </rPr>
          <t>Amit Tandon:</t>
        </r>
        <r>
          <rPr>
            <sz val="8"/>
            <color indexed="81"/>
            <rFont val="Tahoma"/>
            <charset val="1"/>
          </rPr>
          <t xml:space="preserve">
Month 0: Initial Investment or Down Payment.
Subsequent Months: NOI minus Debt Service (P&amp;I).
</t>
        </r>
      </text>
    </comment>
    <comment ref="A61" authorId="0">
      <text>
        <r>
          <rPr>
            <b/>
            <sz val="8"/>
            <color indexed="81"/>
            <rFont val="Tahoma"/>
            <charset val="1"/>
          </rPr>
          <t>Amit Tandon:</t>
        </r>
        <r>
          <rPr>
            <sz val="8"/>
            <color indexed="81"/>
            <rFont val="Tahoma"/>
            <charset val="1"/>
          </rPr>
          <t xml:space="preserve">
NOI minus Debt Service (P&amp;I) plus Terminal Value minus o/s Mortgage Balance.</t>
        </r>
      </text>
    </comment>
    <comment ref="A63" authorId="0">
      <text>
        <r>
          <rPr>
            <b/>
            <sz val="8"/>
            <color indexed="81"/>
            <rFont val="Tahoma"/>
            <charset val="1"/>
          </rPr>
          <t>Amit Tandon:</t>
        </r>
        <r>
          <rPr>
            <sz val="8"/>
            <color indexed="81"/>
            <rFont val="Tahoma"/>
            <charset val="1"/>
          </rPr>
          <t xml:space="preserve">
Model will calaculate "Leveraged" ratios and cash flows in case of +ive loan amount. To calculate "Unleveraged" ratios and cash flows, enter "Loan Amount" as zero.</t>
        </r>
      </text>
    </comment>
    <comment ref="A64" authorId="0">
      <text>
        <r>
          <rPr>
            <b/>
            <sz val="8"/>
            <color indexed="81"/>
            <rFont val="Tahoma"/>
            <charset val="1"/>
          </rPr>
          <t>Amit Tandon:</t>
        </r>
        <r>
          <rPr>
            <sz val="8"/>
            <color indexed="81"/>
            <rFont val="Tahoma"/>
            <charset val="1"/>
          </rPr>
          <t xml:space="preserve">
Should give similar result as Annual IRR.</t>
        </r>
      </text>
    </comment>
    <comment ref="A68" authorId="0">
      <text>
        <r>
          <rPr>
            <b/>
            <sz val="8"/>
            <color indexed="81"/>
            <rFont val="Tahoma"/>
            <charset val="1"/>
          </rPr>
          <t>Amit Tandon:</t>
        </r>
        <r>
          <rPr>
            <sz val="8"/>
            <color indexed="81"/>
            <rFont val="Tahoma"/>
            <charset val="1"/>
          </rPr>
          <t xml:space="preserve">
Month 0: Initial Investment or Down Paymewnt.
Subsequent Months: NOI minus Debt Service (P&amp;I) minus Income Tax.</t>
        </r>
      </text>
    </comment>
    <comment ref="A69" authorId="0">
      <text>
        <r>
          <rPr>
            <b/>
            <sz val="8"/>
            <color indexed="81"/>
            <rFont val="Tahoma"/>
            <charset val="1"/>
          </rPr>
          <t>Amit Tandon:</t>
        </r>
        <r>
          <rPr>
            <sz val="8"/>
            <color indexed="81"/>
            <rFont val="Tahoma"/>
            <charset val="1"/>
          </rPr>
          <t xml:space="preserve">
NOI minus Debt Service (P&amp;I) minus Income Tax plus Terminal Value minus o/s Mortgage Balance minus CG Tax.</t>
        </r>
      </text>
    </comment>
    <comment ref="A71" authorId="0">
      <text>
        <r>
          <rPr>
            <b/>
            <sz val="8"/>
            <color indexed="81"/>
            <rFont val="Tahoma"/>
            <charset val="1"/>
          </rPr>
          <t>Amit Tandon:</t>
        </r>
        <r>
          <rPr>
            <sz val="8"/>
            <color indexed="81"/>
            <rFont val="Tahoma"/>
            <charset val="1"/>
          </rPr>
          <t xml:space="preserve">
Model will calaculate "Leveraged" ratios and cash flows in case of +ive loan amount. To calculate "Unleveraged" ratios and cash flows, enter "Loan Amount" as zero.</t>
        </r>
      </text>
    </comment>
    <comment ref="A72" authorId="0">
      <text>
        <r>
          <rPr>
            <b/>
            <sz val="8"/>
            <color indexed="81"/>
            <rFont val="Tahoma"/>
            <charset val="1"/>
          </rPr>
          <t>Amit Tandon:</t>
        </r>
        <r>
          <rPr>
            <sz val="8"/>
            <color indexed="81"/>
            <rFont val="Tahoma"/>
            <charset val="1"/>
          </rPr>
          <t xml:space="preserve">
Should give similar result as Annual IRR.</t>
        </r>
      </text>
    </comment>
  </commentList>
</comments>
</file>

<file path=xl/sharedStrings.xml><?xml version="1.0" encoding="utf-8"?>
<sst xmlns="http://schemas.openxmlformats.org/spreadsheetml/2006/main" count="209" uniqueCount="145">
  <si>
    <t>Terminal Value Option</t>
  </si>
  <si>
    <t>Loan Amount</t>
  </si>
  <si>
    <t>Date</t>
  </si>
  <si>
    <t>Month No</t>
  </si>
  <si>
    <t>To help us improve this model, please send your feedback to info@globaliconnect.com.</t>
  </si>
  <si>
    <t>Gross Income</t>
  </si>
  <si>
    <t>Property Tax</t>
  </si>
  <si>
    <t>Insurance</t>
  </si>
  <si>
    <t>Advertising</t>
  </si>
  <si>
    <t>Other_1</t>
  </si>
  <si>
    <t>Other_2</t>
  </si>
  <si>
    <t>Other_3</t>
  </si>
  <si>
    <t>Total Operating Exp</t>
  </si>
  <si>
    <t>Depreciation</t>
  </si>
  <si>
    <t>Appreciation</t>
  </si>
  <si>
    <t>Capital Gains</t>
  </si>
  <si>
    <t>Vacancy &amp; Credit Loss</t>
  </si>
  <si>
    <t>Utilities</t>
  </si>
  <si>
    <t>Management Fee</t>
  </si>
  <si>
    <t>Purchase Costs</t>
  </si>
  <si>
    <t>Down Payment</t>
  </si>
  <si>
    <t>Total Initial Cost</t>
  </si>
  <si>
    <t>Additional (Initial) Capital Exp</t>
  </si>
  <si>
    <t>Purchase Date</t>
  </si>
  <si>
    <t>Rent Increase Interval</t>
  </si>
  <si>
    <t>Rent Increase %</t>
  </si>
  <si>
    <t>As %age of income:</t>
  </si>
  <si>
    <t>% of income</t>
  </si>
  <si>
    <t>Property Tax (Annual)</t>
  </si>
  <si>
    <t>Insurance (Annual)</t>
  </si>
  <si>
    <t>Utilities (Mthly)</t>
  </si>
  <si>
    <t>Advertising (Annual)</t>
  </si>
  <si>
    <t>Other_1 (Annual)</t>
  </si>
  <si>
    <t>Other_2 (Mthly)</t>
  </si>
  <si>
    <t>Management Fee (Mthly)</t>
  </si>
  <si>
    <t>Repairs &amp; Maintenance (Mthly)</t>
  </si>
  <si>
    <t>Other_3 (Annual)</t>
  </si>
  <si>
    <t>Starting Month No.</t>
  </si>
  <si>
    <t>%</t>
  </si>
  <si>
    <t>Annual Increase (%)</t>
  </si>
  <si>
    <t>% increase</t>
  </si>
  <si>
    <t>Operating Expenses:</t>
  </si>
  <si>
    <t>$ amt</t>
  </si>
  <si>
    <t>Improvement Ratio</t>
  </si>
  <si>
    <t>Land</t>
  </si>
  <si>
    <t>Improvement</t>
  </si>
  <si>
    <t>Depreciation (Initial Cap Cost)</t>
  </si>
  <si>
    <t>Depreciation (Annual)</t>
  </si>
  <si>
    <t>yrs</t>
  </si>
  <si>
    <t xml:space="preserve">Depreciation - No. of Yrs </t>
  </si>
  <si>
    <t>Vacancy &amp; Credit Losses</t>
  </si>
  <si>
    <t>Income Taxes %</t>
  </si>
  <si>
    <t>Cap Gains Tax %</t>
  </si>
  <si>
    <t>2-Yrs</t>
  </si>
  <si>
    <t>% of rent</t>
  </si>
  <si>
    <t>Monthly IRR</t>
  </si>
  <si>
    <t>Annual IRR</t>
  </si>
  <si>
    <t>Taxable Income</t>
  </si>
  <si>
    <t>Income Tax (Tax Benefit)</t>
  </si>
  <si>
    <t xml:space="preserve">Mkt Value - Cap Rate </t>
  </si>
  <si>
    <t>Mkt Value - Appreciated</t>
  </si>
  <si>
    <t>Debt Coverage Ratio</t>
  </si>
  <si>
    <t>Cap Gains Tax (Tax Benefit)</t>
  </si>
  <si>
    <t>Terminal Value before Tax</t>
  </si>
  <si>
    <t>Monthly MIRR</t>
  </si>
  <si>
    <t>For MIRR</t>
  </si>
  <si>
    <t>Annual MIRR</t>
  </si>
  <si>
    <t>Mortgage Balance (o/s)</t>
  </si>
  <si>
    <t>Cash on Cash Return</t>
  </si>
  <si>
    <t>Net Gain in Cap Value</t>
  </si>
  <si>
    <t>Total Return</t>
  </si>
  <si>
    <t>Terminal Value after CG Tax</t>
  </si>
  <si>
    <t>Month No.</t>
  </si>
  <si>
    <t>IRR</t>
  </si>
  <si>
    <t>ROI (after Tax)</t>
  </si>
  <si>
    <t>Rental Property Investment Model</t>
  </si>
  <si>
    <t>XIRR</t>
  </si>
  <si>
    <t>Select Month:</t>
  </si>
  <si>
    <t>Use this model to calculate returns on rental property:</t>
  </si>
  <si>
    <t>Notes</t>
  </si>
  <si>
    <t>NOI</t>
  </si>
  <si>
    <t>Debt Service</t>
  </si>
  <si>
    <t>Terminal Cap Rate Sensitivity</t>
  </si>
  <si>
    <t xml:space="preserve">Cost of Sale                </t>
  </si>
  <si>
    <t>Terminal Value:</t>
  </si>
  <si>
    <t>IRR (Mthly)</t>
  </si>
  <si>
    <t>IRR (Annual)</t>
  </si>
  <si>
    <t>MIRR (Mthly)</t>
  </si>
  <si>
    <t>MIRR (Annual)</t>
  </si>
  <si>
    <t>Terminal Month CFBT</t>
  </si>
  <si>
    <t>NOI Return (Annual)</t>
  </si>
  <si>
    <t>Annual Returns &amp; Ratios</t>
  </si>
  <si>
    <t>Income</t>
  </si>
  <si>
    <t>Expenses</t>
  </si>
  <si>
    <t>Period</t>
  </si>
  <si>
    <t>Income Tax</t>
  </si>
  <si>
    <t>Terminal Value</t>
  </si>
  <si>
    <t>TV after Tax</t>
  </si>
  <si>
    <t>Mortg Bal</t>
  </si>
  <si>
    <t>NPV (check)</t>
  </si>
  <si>
    <t>Debt Service Payment (P&amp;I)</t>
  </si>
  <si>
    <t>Amortization Period (mths)</t>
  </si>
  <si>
    <t>mths</t>
  </si>
  <si>
    <t>Interest Rate (annual)</t>
  </si>
  <si>
    <t>Cash Flows Before Tax (CFBT) for Terminal Cap Rate Sensitivity</t>
  </si>
  <si>
    <t>Cash Flows Before Tax (CFBT) for Loan Interest Rate Sensitivity</t>
  </si>
  <si>
    <t>Mortgage Balance o/s</t>
  </si>
  <si>
    <t>Loan Interest Rate Sensitivity</t>
  </si>
  <si>
    <t>Year Ending</t>
  </si>
  <si>
    <t>Year No.</t>
  </si>
  <si>
    <t>Repairs/ Maintenance</t>
  </si>
  <si>
    <t>Mortgage Interest</t>
  </si>
  <si>
    <t>Mortgage Principal</t>
  </si>
  <si>
    <t>Capital Gains Tax</t>
  </si>
  <si>
    <t>CFBT</t>
  </si>
  <si>
    <t>Terminal CFBT</t>
  </si>
  <si>
    <t>MIRR</t>
  </si>
  <si>
    <t>CFAT</t>
  </si>
  <si>
    <t>Terminal CFAT</t>
  </si>
  <si>
    <t>Net Operating Income (NOI)</t>
  </si>
  <si>
    <t>Gross Rent</t>
  </si>
  <si>
    <t>FINANCIAL ANALYSIS:</t>
  </si>
  <si>
    <t>CFBT (for 10 Yr XIRR)</t>
  </si>
  <si>
    <t>XIRR (10 Yr)</t>
  </si>
  <si>
    <t>CFAT (for 10 Yr XIRR)</t>
  </si>
  <si>
    <t>Before Tax</t>
  </si>
  <si>
    <t>After Tax</t>
  </si>
  <si>
    <t>IRR at Cap Rates:</t>
  </si>
  <si>
    <t>IRR at Interest Rates:</t>
  </si>
  <si>
    <t>US$ amt (periodical increase):</t>
  </si>
  <si>
    <t>1. Monthly Calculations &amp; Analysis plus Annual Analysis.</t>
  </si>
  <si>
    <t>2. Leveraged, Uneleveraged, Before &amp; After Tax Calculations</t>
  </si>
  <si>
    <t>Though adequate care has been taken in developing this model, subject to comments inserted, we accept no responsibility for inaccuracy or errors in calcuations or assumptions made or for any loss which might arise on its use.</t>
  </si>
  <si>
    <t>Input Check</t>
  </si>
  <si>
    <t>Purchase Price*</t>
  </si>
  <si>
    <t>Monthly Rent*</t>
  </si>
  <si>
    <t>Capitalization Rate %*</t>
  </si>
  <si>
    <t>Appreciation Rate (Annual) %*</t>
  </si>
  <si>
    <t>Finance Rate (mthly)*</t>
  </si>
  <si>
    <t>Reinvestment Rate (mthly)*</t>
  </si>
  <si>
    <t>4. Please see detailed comments inserted in relevant fields.</t>
  </si>
  <si>
    <t>3. Please ensure correct Input-"Input Ok", to get correct results.</t>
  </si>
  <si>
    <t>Enter values in yellow cells. * Compulsory.</t>
  </si>
  <si>
    <t>&amp; Analysis.</t>
  </si>
  <si>
    <t>http://www.globaliconnect.com/excel_models.php</t>
  </si>
</sst>
</file>

<file path=xl/styles.xml><?xml version="1.0" encoding="utf-8"?>
<styleSheet xmlns="http://schemas.openxmlformats.org/spreadsheetml/2006/main">
  <numFmts count="4">
    <numFmt numFmtId="8" formatCode="&quot;$&quot;#,##0.00_);[Red]\(&quot;$&quot;#,##0.00\)"/>
    <numFmt numFmtId="164" formatCode="m/d/yyyy;@"/>
    <numFmt numFmtId="165" formatCode="0.0000%"/>
    <numFmt numFmtId="166" formatCode="0.00000%"/>
  </numFmts>
  <fonts count="17">
    <font>
      <sz val="10"/>
      <name val="Arial"/>
    </font>
    <font>
      <b/>
      <sz val="9"/>
      <name val="Arial"/>
      <family val="2"/>
    </font>
    <font>
      <b/>
      <sz val="10"/>
      <name val="Arial"/>
      <family val="2"/>
    </font>
    <font>
      <sz val="9"/>
      <name val="Arial"/>
      <family val="2"/>
    </font>
    <font>
      <sz val="8"/>
      <color indexed="81"/>
      <name val="Tahoma"/>
      <charset val="1"/>
    </font>
    <font>
      <b/>
      <sz val="8"/>
      <color indexed="81"/>
      <name val="Tahoma"/>
      <charset val="1"/>
    </font>
    <font>
      <sz val="8"/>
      <color indexed="81"/>
      <name val="Tahoma"/>
      <family val="2"/>
    </font>
    <font>
      <b/>
      <sz val="8"/>
      <color indexed="81"/>
      <name val="Tahoma"/>
      <family val="2"/>
    </font>
    <font>
      <sz val="10"/>
      <name val="Tahoma"/>
      <family val="2"/>
    </font>
    <font>
      <sz val="10"/>
      <name val="Arial"/>
      <family val="2"/>
    </font>
    <font>
      <sz val="11"/>
      <color theme="1"/>
      <name val="Calibri"/>
      <family val="2"/>
      <scheme val="minor"/>
    </font>
    <font>
      <b/>
      <sz val="10"/>
      <color theme="0"/>
      <name val="Arial"/>
      <family val="2"/>
    </font>
    <font>
      <u/>
      <sz val="10"/>
      <color theme="10"/>
      <name val="Arial"/>
      <family val="2"/>
    </font>
    <font>
      <b/>
      <sz val="9"/>
      <color rgb="FF0070C0"/>
      <name val="Arial"/>
      <family val="2"/>
    </font>
    <font>
      <b/>
      <sz val="12"/>
      <name val="Arial"/>
      <family val="2"/>
    </font>
    <font>
      <b/>
      <sz val="8"/>
      <name val="Arial"/>
      <family val="2"/>
    </font>
    <font>
      <b/>
      <sz val="8"/>
      <color theme="0"/>
      <name val="Arial"/>
      <family val="2"/>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00B0F0"/>
        <bgColor indexed="64"/>
      </patternFill>
    </fill>
    <fill>
      <patternFill patternType="solid">
        <fgColor rgb="FFFF0000"/>
        <bgColor indexed="64"/>
      </patternFill>
    </fill>
    <fill>
      <patternFill patternType="solid">
        <fgColor theme="3"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style="medium">
        <color indexed="64"/>
      </top>
      <bottom/>
      <diagonal/>
    </border>
  </borders>
  <cellStyleXfs count="6">
    <xf numFmtId="0" fontId="0" fillId="0" borderId="0"/>
    <xf numFmtId="0" fontId="10" fillId="0" borderId="0"/>
    <xf numFmtId="0" fontId="8" fillId="0" borderId="0"/>
    <xf numFmtId="0" fontId="9" fillId="0" borderId="0"/>
    <xf numFmtId="9" fontId="9" fillId="0" borderId="0" applyFont="0" applyFill="0" applyBorder="0" applyAlignment="0" applyProtection="0"/>
    <xf numFmtId="0" fontId="12" fillId="0" borderId="0" applyNumberFormat="0" applyFill="0" applyBorder="0" applyAlignment="0" applyProtection="0">
      <alignment vertical="top"/>
      <protection locked="0"/>
    </xf>
  </cellStyleXfs>
  <cellXfs count="349">
    <xf numFmtId="0" fontId="0" fillId="0" borderId="0" xfId="0"/>
    <xf numFmtId="0" fontId="3" fillId="0" borderId="0" xfId="0" applyFont="1"/>
    <xf numFmtId="164" fontId="3" fillId="0" borderId="0" xfId="0" applyNumberFormat="1" applyFont="1" applyAlignment="1">
      <alignment horizontal="center"/>
    </xf>
    <xf numFmtId="0" fontId="3" fillId="0" borderId="0" xfId="0" applyFont="1" applyAlignment="1">
      <alignment horizontal="center"/>
    </xf>
    <xf numFmtId="164" fontId="3" fillId="0" borderId="0" xfId="0" applyNumberFormat="1" applyFont="1"/>
    <xf numFmtId="0" fontId="9" fillId="6" borderId="21" xfId="0" applyFont="1" applyFill="1" applyBorder="1"/>
    <xf numFmtId="0" fontId="0" fillId="7" borderId="10" xfId="0" applyFill="1" applyBorder="1"/>
    <xf numFmtId="0" fontId="0" fillId="6" borderId="11" xfId="0" applyFill="1" applyBorder="1"/>
    <xf numFmtId="0" fontId="0" fillId="6" borderId="3" xfId="0" applyFill="1" applyBorder="1"/>
    <xf numFmtId="0" fontId="0" fillId="6" borderId="6" xfId="0" applyFill="1" applyBorder="1"/>
    <xf numFmtId="0" fontId="0" fillId="6" borderId="10" xfId="0" applyFill="1" applyBorder="1"/>
    <xf numFmtId="38" fontId="3" fillId="0" borderId="1" xfId="0" applyNumberFormat="1" applyFont="1" applyBorder="1"/>
    <xf numFmtId="38" fontId="3" fillId="0" borderId="1" xfId="0" applyNumberFormat="1" applyFont="1" applyFill="1" applyBorder="1"/>
    <xf numFmtId="0" fontId="9" fillId="6" borderId="16" xfId="0" applyFont="1" applyFill="1" applyBorder="1"/>
    <xf numFmtId="0" fontId="0" fillId="6" borderId="1" xfId="0" applyFill="1" applyBorder="1"/>
    <xf numFmtId="0" fontId="0" fillId="6" borderId="0" xfId="0" applyFill="1" applyBorder="1"/>
    <xf numFmtId="0" fontId="0" fillId="6" borderId="5" xfId="0" applyFill="1" applyBorder="1"/>
    <xf numFmtId="0" fontId="3" fillId="2" borderId="0" xfId="0" applyFont="1" applyFill="1" applyBorder="1" applyAlignment="1">
      <alignment horizontal="center"/>
    </xf>
    <xf numFmtId="0" fontId="3" fillId="2" borderId="0" xfId="0" applyFont="1" applyFill="1" applyBorder="1"/>
    <xf numFmtId="0" fontId="0" fillId="5" borderId="11" xfId="0" applyFill="1" applyBorder="1"/>
    <xf numFmtId="0" fontId="0" fillId="2" borderId="11" xfId="0" applyFill="1" applyBorder="1"/>
    <xf numFmtId="0" fontId="0" fillId="2" borderId="3" xfId="0" applyFill="1" applyBorder="1"/>
    <xf numFmtId="0" fontId="0" fillId="5" borderId="10" xfId="0" applyFill="1" applyBorder="1"/>
    <xf numFmtId="0" fontId="0" fillId="2" borderId="6" xfId="0" applyFill="1" applyBorder="1"/>
    <xf numFmtId="0" fontId="0" fillId="2" borderId="0" xfId="0" applyFill="1" applyBorder="1"/>
    <xf numFmtId="0" fontId="1" fillId="5" borderId="14" xfId="0" applyFont="1" applyFill="1" applyBorder="1"/>
    <xf numFmtId="0" fontId="9" fillId="2" borderId="14" xfId="0" applyFont="1" applyFill="1" applyBorder="1"/>
    <xf numFmtId="0" fontId="9" fillId="2" borderId="0" xfId="0" applyFont="1" applyFill="1" applyBorder="1"/>
    <xf numFmtId="0" fontId="9" fillId="6" borderId="14" xfId="0" applyFont="1" applyFill="1" applyBorder="1"/>
    <xf numFmtId="0" fontId="9" fillId="6" borderId="0" xfId="0" applyFont="1" applyFill="1" applyBorder="1"/>
    <xf numFmtId="0" fontId="9" fillId="6" borderId="5" xfId="0" applyFont="1" applyFill="1" applyBorder="1"/>
    <xf numFmtId="0" fontId="2" fillId="5" borderId="13" xfId="0" applyFont="1" applyFill="1" applyBorder="1"/>
    <xf numFmtId="0" fontId="9" fillId="2" borderId="5" xfId="0" applyFont="1" applyFill="1" applyBorder="1"/>
    <xf numFmtId="0" fontId="3" fillId="6" borderId="14" xfId="0" applyFont="1" applyFill="1" applyBorder="1"/>
    <xf numFmtId="0" fontId="0" fillId="2" borderId="33" xfId="0" applyFill="1" applyBorder="1"/>
    <xf numFmtId="0" fontId="0" fillId="2" borderId="36" xfId="0" applyFill="1" applyBorder="1"/>
    <xf numFmtId="0" fontId="0" fillId="6" borderId="19" xfId="0" applyFill="1" applyBorder="1"/>
    <xf numFmtId="0" fontId="0" fillId="6" borderId="16" xfId="0" applyFill="1" applyBorder="1"/>
    <xf numFmtId="0" fontId="0" fillId="6" borderId="21" xfId="0" applyFill="1" applyBorder="1"/>
    <xf numFmtId="0" fontId="3" fillId="6" borderId="16" xfId="0" applyFont="1" applyFill="1" applyBorder="1"/>
    <xf numFmtId="0" fontId="3" fillId="6" borderId="21" xfId="0" applyFont="1" applyFill="1" applyBorder="1"/>
    <xf numFmtId="0" fontId="9" fillId="6" borderId="18" xfId="0" applyFont="1" applyFill="1" applyBorder="1"/>
    <xf numFmtId="0" fontId="3" fillId="0" borderId="0" xfId="0" applyFont="1" applyFill="1" applyBorder="1"/>
    <xf numFmtId="0" fontId="0" fillId="2" borderId="38" xfId="0" applyFill="1" applyBorder="1"/>
    <xf numFmtId="0" fontId="0" fillId="2" borderId="16" xfId="0" applyFill="1" applyBorder="1"/>
    <xf numFmtId="0" fontId="0" fillId="2" borderId="15" xfId="0" applyFill="1" applyBorder="1"/>
    <xf numFmtId="0" fontId="9" fillId="2" borderId="16" xfId="0" applyFont="1" applyFill="1" applyBorder="1"/>
    <xf numFmtId="0" fontId="3" fillId="2" borderId="23" xfId="0" applyFont="1" applyFill="1" applyBorder="1" applyAlignment="1">
      <alignment horizontal="center"/>
    </xf>
    <xf numFmtId="0" fontId="0" fillId="2" borderId="23" xfId="0" applyFill="1" applyBorder="1"/>
    <xf numFmtId="0" fontId="0" fillId="2" borderId="17" xfId="0" applyFill="1" applyBorder="1"/>
    <xf numFmtId="0" fontId="2" fillId="2" borderId="15" xfId="0" applyFont="1" applyFill="1" applyBorder="1"/>
    <xf numFmtId="0" fontId="2" fillId="2" borderId="37" xfId="0" applyFont="1" applyFill="1" applyBorder="1"/>
    <xf numFmtId="1" fontId="0" fillId="0" borderId="0" xfId="0" applyNumberFormat="1"/>
    <xf numFmtId="38" fontId="0" fillId="0" borderId="0" xfId="0" applyNumberFormat="1"/>
    <xf numFmtId="0" fontId="0" fillId="2" borderId="9" xfId="0" applyFill="1" applyBorder="1"/>
    <xf numFmtId="0" fontId="9" fillId="6" borderId="19" xfId="0" applyFont="1" applyFill="1" applyBorder="1"/>
    <xf numFmtId="0" fontId="0" fillId="2" borderId="12" xfId="0" applyFill="1" applyBorder="1"/>
    <xf numFmtId="0" fontId="0" fillId="2" borderId="13" xfId="0" applyFill="1" applyBorder="1"/>
    <xf numFmtId="0" fontId="0" fillId="2" borderId="22" xfId="0" applyFill="1" applyBorder="1"/>
    <xf numFmtId="164" fontId="3" fillId="2" borderId="24" xfId="0" applyNumberFormat="1" applyFont="1" applyFill="1" applyBorder="1" applyAlignment="1">
      <alignment horizontal="center"/>
    </xf>
    <xf numFmtId="164" fontId="3" fillId="2" borderId="9" xfId="0" applyNumberFormat="1" applyFont="1" applyFill="1" applyBorder="1" applyAlignment="1">
      <alignment horizontal="center"/>
    </xf>
    <xf numFmtId="164" fontId="3" fillId="2" borderId="2" xfId="0" applyNumberFormat="1" applyFont="1" applyFill="1" applyBorder="1" applyAlignment="1">
      <alignment horizontal="center"/>
    </xf>
    <xf numFmtId="0" fontId="9" fillId="2" borderId="41" xfId="0" applyFont="1" applyFill="1" applyBorder="1"/>
    <xf numFmtId="0" fontId="9" fillId="6" borderId="30" xfId="0" applyFont="1" applyFill="1" applyBorder="1"/>
    <xf numFmtId="0" fontId="0" fillId="2" borderId="24" xfId="0" applyFill="1" applyBorder="1"/>
    <xf numFmtId="0" fontId="0" fillId="2" borderId="25" xfId="0" applyFill="1" applyBorder="1"/>
    <xf numFmtId="0" fontId="0" fillId="2" borderId="26" xfId="0" applyFill="1" applyBorder="1"/>
    <xf numFmtId="0" fontId="2" fillId="8" borderId="12" xfId="0" applyFont="1" applyFill="1" applyBorder="1"/>
    <xf numFmtId="0" fontId="0" fillId="8" borderId="13" xfId="0" applyFill="1" applyBorder="1"/>
    <xf numFmtId="0" fontId="0" fillId="8" borderId="22" xfId="0" applyFill="1" applyBorder="1"/>
    <xf numFmtId="0" fontId="2" fillId="8" borderId="2" xfId="0" applyFont="1" applyFill="1" applyBorder="1"/>
    <xf numFmtId="0" fontId="2" fillId="8" borderId="14" xfId="0" applyFont="1" applyFill="1" applyBorder="1"/>
    <xf numFmtId="0" fontId="2" fillId="8" borderId="39" xfId="0" applyFont="1" applyFill="1" applyBorder="1"/>
    <xf numFmtId="0" fontId="9" fillId="8" borderId="9" xfId="0" applyFont="1" applyFill="1" applyBorder="1"/>
    <xf numFmtId="0" fontId="0" fillId="8" borderId="0" xfId="0" applyFill="1" applyBorder="1"/>
    <xf numFmtId="0" fontId="0" fillId="8" borderId="17" xfId="0" applyFill="1" applyBorder="1"/>
    <xf numFmtId="0" fontId="9" fillId="8" borderId="4" xfId="0" applyFont="1" applyFill="1" applyBorder="1"/>
    <xf numFmtId="0" fontId="0" fillId="8" borderId="5" xfId="0" applyFill="1" applyBorder="1"/>
    <xf numFmtId="0" fontId="0" fillId="8" borderId="40" xfId="0" applyFill="1" applyBorder="1"/>
    <xf numFmtId="0" fontId="14" fillId="11" borderId="27" xfId="0" applyFont="1" applyFill="1" applyBorder="1"/>
    <xf numFmtId="0" fontId="14" fillId="11" borderId="28" xfId="0" applyFont="1" applyFill="1" applyBorder="1"/>
    <xf numFmtId="0" fontId="0" fillId="11" borderId="35" xfId="0" applyFill="1" applyBorder="1"/>
    <xf numFmtId="0" fontId="1" fillId="5" borderId="18" xfId="0" applyFont="1" applyFill="1" applyBorder="1"/>
    <xf numFmtId="0" fontId="1" fillId="5" borderId="10" xfId="0" applyFont="1" applyFill="1" applyBorder="1"/>
    <xf numFmtId="0" fontId="2" fillId="7" borderId="13" xfId="0" applyFont="1" applyFill="1" applyBorder="1"/>
    <xf numFmtId="0" fontId="2" fillId="5" borderId="19" xfId="0" applyFont="1" applyFill="1" applyBorder="1"/>
    <xf numFmtId="0" fontId="9" fillId="8" borderId="9" xfId="0" applyFont="1" applyFill="1" applyBorder="1" applyAlignment="1">
      <alignment horizontal="left" indent="1"/>
    </xf>
    <xf numFmtId="0" fontId="2" fillId="5" borderId="18" xfId="0" applyFont="1" applyFill="1" applyBorder="1"/>
    <xf numFmtId="0" fontId="0" fillId="2" borderId="2" xfId="0" applyFill="1" applyBorder="1"/>
    <xf numFmtId="0" fontId="0" fillId="2" borderId="14" xfId="0" applyFill="1" applyBorder="1"/>
    <xf numFmtId="0" fontId="0" fillId="2" borderId="39" xfId="0" applyFill="1" applyBorder="1"/>
    <xf numFmtId="0" fontId="15" fillId="2" borderId="1" xfId="0" applyFont="1" applyFill="1" applyBorder="1" applyAlignment="1">
      <alignment horizontal="center"/>
    </xf>
    <xf numFmtId="0" fontId="16" fillId="12" borderId="1" xfId="0" applyFont="1" applyFill="1" applyBorder="1" applyAlignment="1">
      <alignment horizontal="center"/>
    </xf>
    <xf numFmtId="38" fontId="3" fillId="3" borderId="1" xfId="0" applyNumberFormat="1" applyFont="1" applyFill="1" applyBorder="1" applyProtection="1">
      <protection locked="0"/>
    </xf>
    <xf numFmtId="164" fontId="3" fillId="3" borderId="1" xfId="0" applyNumberFormat="1" applyFont="1" applyFill="1" applyBorder="1" applyProtection="1">
      <protection locked="0"/>
    </xf>
    <xf numFmtId="10" fontId="3" fillId="3" borderId="1" xfId="0" applyNumberFormat="1" applyFont="1" applyFill="1" applyBorder="1" applyProtection="1">
      <protection locked="0"/>
    </xf>
    <xf numFmtId="0" fontId="9" fillId="3" borderId="1" xfId="5" applyNumberFormat="1" applyFont="1" applyFill="1" applyBorder="1" applyAlignment="1" applyProtection="1">
      <alignment horizontal="right"/>
      <protection locked="0"/>
    </xf>
    <xf numFmtId="0" fontId="3" fillId="3" borderId="1" xfId="0" applyFont="1" applyFill="1" applyBorder="1" applyAlignment="1" applyProtection="1">
      <alignment horizontal="right"/>
      <protection locked="0"/>
    </xf>
    <xf numFmtId="0" fontId="3" fillId="3" borderId="1" xfId="0" applyFont="1" applyFill="1" applyBorder="1" applyProtection="1">
      <protection locked="0"/>
    </xf>
    <xf numFmtId="0" fontId="1" fillId="3" borderId="1" xfId="0" applyNumberFormat="1" applyFont="1" applyFill="1" applyBorder="1" applyProtection="1">
      <protection locked="0"/>
    </xf>
    <xf numFmtId="10" fontId="3" fillId="3" borderId="10" xfId="0" applyNumberFormat="1" applyFont="1" applyFill="1" applyBorder="1" applyProtection="1">
      <protection locked="0"/>
    </xf>
    <xf numFmtId="38" fontId="3" fillId="3" borderId="10" xfId="0" applyNumberFormat="1" applyFont="1" applyFill="1" applyBorder="1" applyProtection="1">
      <protection locked="0"/>
    </xf>
    <xf numFmtId="0" fontId="3" fillId="3" borderId="10" xfId="0" applyNumberFormat="1" applyFont="1" applyFill="1" applyBorder="1" applyAlignment="1" applyProtection="1">
      <alignment horizontal="right"/>
      <protection locked="0"/>
    </xf>
    <xf numFmtId="0" fontId="3" fillId="2" borderId="33" xfId="0" applyFont="1" applyFill="1" applyBorder="1" applyProtection="1">
      <protection hidden="1"/>
    </xf>
    <xf numFmtId="0" fontId="1" fillId="6" borderId="0" xfId="0" applyFont="1" applyFill="1" applyAlignment="1" applyProtection="1">
      <alignment horizontal="center"/>
      <protection hidden="1"/>
    </xf>
    <xf numFmtId="0" fontId="1" fillId="2" borderId="7" xfId="0" applyFont="1" applyFill="1" applyBorder="1" applyAlignment="1" applyProtection="1">
      <alignment horizontal="center"/>
      <protection hidden="1"/>
    </xf>
    <xf numFmtId="0" fontId="1" fillId="6" borderId="1" xfId="0" applyFont="1" applyFill="1" applyBorder="1" applyAlignment="1" applyProtection="1">
      <alignment horizontal="center"/>
      <protection hidden="1"/>
    </xf>
    <xf numFmtId="0" fontId="3" fillId="2" borderId="7" xfId="0" applyFont="1" applyFill="1" applyBorder="1" applyProtection="1">
      <protection hidden="1"/>
    </xf>
    <xf numFmtId="0" fontId="1" fillId="2" borderId="0" xfId="0" applyFont="1" applyFill="1" applyBorder="1" applyAlignment="1" applyProtection="1">
      <alignment horizontal="center"/>
      <protection hidden="1"/>
    </xf>
    <xf numFmtId="0" fontId="3" fillId="0" borderId="0" xfId="0" applyFont="1" applyProtection="1">
      <protection hidden="1"/>
    </xf>
    <xf numFmtId="0" fontId="3" fillId="7" borderId="1" xfId="0" applyFont="1" applyFill="1" applyBorder="1" applyAlignment="1" applyProtection="1">
      <alignment horizontal="center" wrapText="1"/>
      <protection hidden="1"/>
    </xf>
    <xf numFmtId="0" fontId="3" fillId="5" borderId="1" xfId="0" applyFont="1" applyFill="1" applyBorder="1" applyAlignment="1" applyProtection="1">
      <alignment horizontal="center" wrapText="1"/>
      <protection hidden="1"/>
    </xf>
    <xf numFmtId="0" fontId="3" fillId="7" borderId="12" xfId="0" applyFont="1" applyFill="1" applyBorder="1" applyAlignment="1" applyProtection="1">
      <alignment horizontal="center" wrapText="1"/>
      <protection hidden="1"/>
    </xf>
    <xf numFmtId="0" fontId="3" fillId="2" borderId="33" xfId="0" applyFont="1" applyFill="1" applyBorder="1" applyAlignment="1" applyProtection="1">
      <alignment horizontal="center" wrapText="1"/>
      <protection hidden="1"/>
    </xf>
    <xf numFmtId="0" fontId="3" fillId="5" borderId="10" xfId="0" applyFont="1" applyFill="1" applyBorder="1" applyAlignment="1" applyProtection="1">
      <alignment horizontal="center" wrapText="1"/>
      <protection hidden="1"/>
    </xf>
    <xf numFmtId="0" fontId="3" fillId="5" borderId="12" xfId="0" applyFont="1" applyFill="1" applyBorder="1" applyAlignment="1" applyProtection="1">
      <alignment horizontal="center" wrapText="1"/>
      <protection hidden="1"/>
    </xf>
    <xf numFmtId="0" fontId="3" fillId="7" borderId="10" xfId="0" applyFont="1" applyFill="1" applyBorder="1" applyAlignment="1" applyProtection="1">
      <alignment horizontal="center" wrapText="1"/>
      <protection hidden="1"/>
    </xf>
    <xf numFmtId="0" fontId="3" fillId="7" borderId="33" xfId="0" applyFont="1" applyFill="1" applyBorder="1" applyAlignment="1" applyProtection="1">
      <alignment horizontal="center" wrapText="1"/>
      <protection hidden="1"/>
    </xf>
    <xf numFmtId="0" fontId="1" fillId="8" borderId="1" xfId="0" applyFont="1" applyFill="1" applyBorder="1" applyAlignment="1" applyProtection="1">
      <alignment horizontal="center" wrapText="1"/>
      <protection hidden="1"/>
    </xf>
    <xf numFmtId="0" fontId="1" fillId="8" borderId="7" xfId="0" applyFont="1" applyFill="1" applyBorder="1" applyAlignment="1" applyProtection="1">
      <alignment horizontal="center" wrapText="1"/>
      <protection hidden="1"/>
    </xf>
    <xf numFmtId="0" fontId="1" fillId="8" borderId="2" xfId="0" applyFont="1" applyFill="1" applyBorder="1" applyAlignment="1" applyProtection="1">
      <alignment horizontal="center" wrapText="1"/>
      <protection hidden="1"/>
    </xf>
    <xf numFmtId="0" fontId="3" fillId="8" borderId="7" xfId="0" applyFont="1" applyFill="1" applyBorder="1" applyAlignment="1" applyProtection="1">
      <alignment horizontal="center" wrapText="1"/>
      <protection hidden="1"/>
    </xf>
    <xf numFmtId="0" fontId="3" fillId="8" borderId="2" xfId="0" applyFont="1" applyFill="1" applyBorder="1" applyAlignment="1" applyProtection="1">
      <alignment horizontal="center" wrapText="1"/>
      <protection hidden="1"/>
    </xf>
    <xf numFmtId="0" fontId="3" fillId="2" borderId="0" xfId="0" applyFont="1" applyFill="1" applyBorder="1" applyAlignment="1" applyProtection="1">
      <alignment horizontal="center"/>
      <protection hidden="1"/>
    </xf>
    <xf numFmtId="0" fontId="3" fillId="8" borderId="1" xfId="0" applyFont="1" applyFill="1" applyBorder="1" applyAlignment="1" applyProtection="1">
      <alignment horizontal="center"/>
      <protection hidden="1"/>
    </xf>
    <xf numFmtId="0" fontId="1" fillId="8" borderId="12" xfId="0" applyFont="1" applyFill="1" applyBorder="1" applyAlignment="1" applyProtection="1">
      <alignment horizontal="center"/>
      <protection hidden="1"/>
    </xf>
    <xf numFmtId="0" fontId="3" fillId="2" borderId="0" xfId="0" applyFont="1" applyFill="1" applyProtection="1">
      <protection hidden="1"/>
    </xf>
    <xf numFmtId="10" fontId="1" fillId="10" borderId="1" xfId="0" applyNumberFormat="1" applyFont="1" applyFill="1" applyBorder="1" applyAlignment="1" applyProtection="1">
      <alignment horizontal="center"/>
      <protection hidden="1"/>
    </xf>
    <xf numFmtId="0" fontId="3" fillId="5" borderId="9" xfId="0" applyFont="1" applyFill="1" applyBorder="1" applyAlignment="1" applyProtection="1">
      <alignment horizontal="center"/>
      <protection hidden="1"/>
    </xf>
    <xf numFmtId="0" fontId="3" fillId="2" borderId="33" xfId="0" applyFont="1" applyFill="1" applyBorder="1" applyAlignment="1" applyProtection="1">
      <alignment horizontal="center"/>
      <protection hidden="1"/>
    </xf>
    <xf numFmtId="0" fontId="3" fillId="7" borderId="33" xfId="0" applyFont="1" applyFill="1" applyBorder="1" applyAlignment="1" applyProtection="1">
      <alignment horizontal="center"/>
      <protection hidden="1"/>
    </xf>
    <xf numFmtId="0" fontId="3" fillId="2" borderId="0" xfId="0" applyFont="1" applyFill="1" applyBorder="1" applyProtection="1">
      <protection hidden="1"/>
    </xf>
    <xf numFmtId="0" fontId="3" fillId="2" borderId="3" xfId="0" applyFont="1" applyFill="1" applyBorder="1" applyProtection="1">
      <protection hidden="1"/>
    </xf>
    <xf numFmtId="0" fontId="3" fillId="2" borderId="4" xfId="0" applyFont="1" applyFill="1" applyBorder="1" applyProtection="1">
      <protection hidden="1"/>
    </xf>
    <xf numFmtId="0" fontId="3" fillId="0" borderId="2" xfId="0" applyFont="1" applyBorder="1" applyProtection="1">
      <protection hidden="1"/>
    </xf>
    <xf numFmtId="0" fontId="3" fillId="0" borderId="7" xfId="0" applyFont="1" applyBorder="1" applyProtection="1">
      <protection hidden="1"/>
    </xf>
    <xf numFmtId="0" fontId="3" fillId="0" borderId="1" xfId="0" applyFont="1" applyBorder="1" applyAlignment="1" applyProtection="1">
      <alignment horizontal="left"/>
      <protection hidden="1"/>
    </xf>
    <xf numFmtId="164" fontId="3" fillId="0" borderId="1" xfId="0" applyNumberFormat="1" applyFont="1" applyBorder="1" applyAlignment="1" applyProtection="1">
      <alignment horizontal="center"/>
      <protection hidden="1"/>
    </xf>
    <xf numFmtId="0" fontId="3" fillId="0" borderId="1" xfId="0" applyFont="1" applyBorder="1" applyAlignment="1" applyProtection="1">
      <alignment horizontal="center"/>
      <protection hidden="1"/>
    </xf>
    <xf numFmtId="38" fontId="3" fillId="0" borderId="1" xfId="0" applyNumberFormat="1" applyFont="1" applyBorder="1" applyAlignment="1" applyProtection="1">
      <alignment horizontal="right"/>
      <protection hidden="1"/>
    </xf>
    <xf numFmtId="38" fontId="3" fillId="0" borderId="12" xfId="0" applyNumberFormat="1" applyFont="1" applyBorder="1" applyAlignment="1" applyProtection="1">
      <alignment horizontal="right"/>
      <protection hidden="1"/>
    </xf>
    <xf numFmtId="38" fontId="3" fillId="2" borderId="33" xfId="0" applyNumberFormat="1" applyFont="1" applyFill="1" applyBorder="1" applyAlignment="1" applyProtection="1">
      <alignment horizontal="right"/>
      <protection hidden="1"/>
    </xf>
    <xf numFmtId="0" fontId="3" fillId="0" borderId="10" xfId="0" applyFont="1" applyBorder="1" applyProtection="1">
      <protection hidden="1"/>
    </xf>
    <xf numFmtId="0" fontId="3" fillId="0" borderId="1" xfId="0" applyFont="1" applyBorder="1" applyProtection="1">
      <protection hidden="1"/>
    </xf>
    <xf numFmtId="0" fontId="3" fillId="0" borderId="12" xfId="0" applyFont="1" applyBorder="1" applyProtection="1">
      <protection hidden="1"/>
    </xf>
    <xf numFmtId="0" fontId="3" fillId="0" borderId="1" xfId="0" applyFont="1" applyFill="1" applyBorder="1" applyProtection="1">
      <protection hidden="1"/>
    </xf>
    <xf numFmtId="0" fontId="3" fillId="0" borderId="14" xfId="0" applyFont="1" applyBorder="1" applyProtection="1">
      <protection hidden="1"/>
    </xf>
    <xf numFmtId="165" fontId="1" fillId="0" borderId="14" xfId="0" applyNumberFormat="1" applyFont="1" applyBorder="1" applyProtection="1">
      <protection hidden="1"/>
    </xf>
    <xf numFmtId="165" fontId="3" fillId="0" borderId="11" xfId="0" applyNumberFormat="1" applyFont="1" applyBorder="1" applyProtection="1">
      <protection hidden="1"/>
    </xf>
    <xf numFmtId="38" fontId="3" fillId="0" borderId="1" xfId="0" applyNumberFormat="1" applyFont="1" applyBorder="1" applyProtection="1">
      <protection hidden="1"/>
    </xf>
    <xf numFmtId="165" fontId="1" fillId="0" borderId="1" xfId="0" applyNumberFormat="1" applyFont="1" applyBorder="1" applyProtection="1">
      <protection hidden="1"/>
    </xf>
    <xf numFmtId="0" fontId="13" fillId="2" borderId="3" xfId="0" applyFont="1" applyFill="1" applyBorder="1" applyProtection="1">
      <protection hidden="1"/>
    </xf>
    <xf numFmtId="38" fontId="3" fillId="0" borderId="9" xfId="0" applyNumberFormat="1" applyFont="1" applyBorder="1" applyProtection="1">
      <protection hidden="1"/>
    </xf>
    <xf numFmtId="165" fontId="1" fillId="0" borderId="9" xfId="0" applyNumberFormat="1" applyFont="1" applyFill="1" applyBorder="1" applyProtection="1">
      <protection hidden="1"/>
    </xf>
    <xf numFmtId="0" fontId="3" fillId="5" borderId="29" xfId="0" applyFont="1" applyFill="1" applyBorder="1" applyAlignment="1" applyProtection="1">
      <alignment horizontal="center"/>
      <protection hidden="1"/>
    </xf>
    <xf numFmtId="0" fontId="13" fillId="4" borderId="40" xfId="0" applyFont="1" applyFill="1" applyBorder="1" applyProtection="1">
      <protection locked="0" hidden="1"/>
    </xf>
    <xf numFmtId="38" fontId="3" fillId="0" borderId="1" xfId="0" applyNumberFormat="1" applyFont="1" applyFill="1" applyBorder="1" applyAlignment="1" applyProtection="1">
      <alignment horizontal="right"/>
      <protection hidden="1"/>
    </xf>
    <xf numFmtId="3" fontId="3" fillId="0" borderId="10" xfId="0" applyNumberFormat="1" applyFont="1" applyFill="1" applyBorder="1" applyAlignment="1" applyProtection="1">
      <alignment horizontal="right"/>
      <protection hidden="1"/>
    </xf>
    <xf numFmtId="3" fontId="3" fillId="0" borderId="1" xfId="0" applyNumberFormat="1" applyFont="1" applyBorder="1" applyProtection="1">
      <protection hidden="1"/>
    </xf>
    <xf numFmtId="38" fontId="3" fillId="0" borderId="12" xfId="0" applyNumberFormat="1" applyFont="1" applyBorder="1" applyProtection="1">
      <protection hidden="1"/>
    </xf>
    <xf numFmtId="38" fontId="3" fillId="2" borderId="33" xfId="0" applyNumberFormat="1" applyFont="1" applyFill="1" applyBorder="1" applyProtection="1">
      <protection hidden="1"/>
    </xf>
    <xf numFmtId="38" fontId="3" fillId="0" borderId="10" xfId="0" applyNumberFormat="1" applyFont="1" applyBorder="1" applyProtection="1">
      <protection hidden="1"/>
    </xf>
    <xf numFmtId="38" fontId="3" fillId="0" borderId="1" xfId="0" applyNumberFormat="1" applyFont="1" applyFill="1" applyBorder="1" applyProtection="1">
      <protection hidden="1"/>
    </xf>
    <xf numFmtId="38" fontId="3" fillId="0" borderId="12" xfId="0" applyNumberFormat="1" applyFont="1" applyFill="1" applyBorder="1" applyProtection="1">
      <protection hidden="1"/>
    </xf>
    <xf numFmtId="38" fontId="3" fillId="0" borderId="10" xfId="0" applyNumberFormat="1" applyFont="1" applyBorder="1" applyAlignment="1" applyProtection="1">
      <alignment horizontal="right"/>
      <protection hidden="1"/>
    </xf>
    <xf numFmtId="38" fontId="3" fillId="0" borderId="0" xfId="0" applyNumberFormat="1" applyFont="1" applyProtection="1">
      <protection hidden="1"/>
    </xf>
    <xf numFmtId="10" fontId="3" fillId="0" borderId="0" xfId="0" applyNumberFormat="1" applyFont="1" applyProtection="1">
      <protection hidden="1"/>
    </xf>
    <xf numFmtId="10" fontId="3" fillId="0" borderId="0" xfId="0" applyNumberFormat="1" applyFont="1" applyBorder="1" applyProtection="1">
      <protection hidden="1"/>
    </xf>
    <xf numFmtId="165" fontId="1" fillId="0" borderId="0" xfId="0" applyNumberFormat="1" applyFont="1" applyBorder="1" applyProtection="1">
      <protection hidden="1"/>
    </xf>
    <xf numFmtId="165" fontId="3" fillId="0" borderId="3" xfId="0" applyNumberFormat="1" applyFont="1" applyBorder="1" applyProtection="1">
      <protection hidden="1"/>
    </xf>
    <xf numFmtId="0" fontId="3" fillId="0" borderId="16" xfId="0" applyFont="1" applyBorder="1" applyProtection="1">
      <protection hidden="1"/>
    </xf>
    <xf numFmtId="0" fontId="3" fillId="0" borderId="17" xfId="0" applyFont="1" applyBorder="1" applyProtection="1">
      <protection hidden="1"/>
    </xf>
    <xf numFmtId="165" fontId="3" fillId="2" borderId="3" xfId="0" applyNumberFormat="1" applyFont="1" applyFill="1" applyBorder="1" applyProtection="1">
      <protection hidden="1"/>
    </xf>
    <xf numFmtId="0" fontId="3" fillId="5" borderId="30" xfId="0" applyFont="1" applyFill="1" applyBorder="1" applyAlignment="1" applyProtection="1">
      <alignment horizontal="center"/>
      <protection hidden="1"/>
    </xf>
    <xf numFmtId="165" fontId="3" fillId="0" borderId="17" xfId="0" applyNumberFormat="1" applyFont="1" applyBorder="1" applyProtection="1">
      <protection hidden="1"/>
    </xf>
    <xf numFmtId="0" fontId="3" fillId="5" borderId="31" xfId="0" applyFont="1" applyFill="1" applyBorder="1" applyAlignment="1" applyProtection="1">
      <alignment horizontal="center"/>
      <protection hidden="1"/>
    </xf>
    <xf numFmtId="165" fontId="3" fillId="2" borderId="0" xfId="0" applyNumberFormat="1" applyFont="1" applyFill="1" applyBorder="1" applyProtection="1">
      <protection hidden="1"/>
    </xf>
    <xf numFmtId="0" fontId="3" fillId="0" borderId="34" xfId="0" applyFont="1" applyBorder="1" applyProtection="1">
      <protection hidden="1"/>
    </xf>
    <xf numFmtId="0" fontId="3" fillId="0" borderId="3" xfId="0" applyFont="1" applyBorder="1" applyProtection="1">
      <protection hidden="1"/>
    </xf>
    <xf numFmtId="40" fontId="3" fillId="0" borderId="6" xfId="0" applyNumberFormat="1" applyFont="1" applyBorder="1" applyProtection="1">
      <protection hidden="1"/>
    </xf>
    <xf numFmtId="8" fontId="3" fillId="0" borderId="3" xfId="0" applyNumberFormat="1" applyFont="1" applyBorder="1" applyAlignment="1" applyProtection="1">
      <alignment horizontal="right"/>
      <protection hidden="1"/>
    </xf>
    <xf numFmtId="164" fontId="3" fillId="5" borderId="1" xfId="0" applyNumberFormat="1" applyFont="1" applyFill="1" applyBorder="1" applyAlignment="1" applyProtection="1">
      <alignment horizontal="center"/>
      <protection hidden="1"/>
    </xf>
    <xf numFmtId="0" fontId="1" fillId="5" borderId="1" xfId="0" applyFont="1" applyFill="1" applyBorder="1" applyAlignment="1" applyProtection="1">
      <alignment horizontal="center"/>
      <protection hidden="1"/>
    </xf>
    <xf numFmtId="38" fontId="3" fillId="5" borderId="1" xfId="0" applyNumberFormat="1" applyFont="1" applyFill="1" applyBorder="1" applyAlignment="1" applyProtection="1">
      <alignment horizontal="right"/>
      <protection hidden="1"/>
    </xf>
    <xf numFmtId="38" fontId="3" fillId="5" borderId="12" xfId="0" applyNumberFormat="1" applyFont="1" applyFill="1" applyBorder="1" applyAlignment="1" applyProtection="1">
      <alignment horizontal="right"/>
      <protection hidden="1"/>
    </xf>
    <xf numFmtId="3" fontId="3" fillId="5" borderId="10" xfId="0" applyNumberFormat="1" applyFont="1" applyFill="1" applyBorder="1" applyAlignment="1" applyProtection="1">
      <alignment horizontal="right"/>
      <protection hidden="1"/>
    </xf>
    <xf numFmtId="38" fontId="3" fillId="5" borderId="1" xfId="0" applyNumberFormat="1" applyFont="1" applyFill="1" applyBorder="1" applyProtection="1">
      <protection hidden="1"/>
    </xf>
    <xf numFmtId="3" fontId="3" fillId="5" borderId="1" xfId="0" applyNumberFormat="1" applyFont="1" applyFill="1" applyBorder="1" applyProtection="1">
      <protection hidden="1"/>
    </xf>
    <xf numFmtId="38" fontId="3" fillId="5" borderId="12" xfId="0" applyNumberFormat="1" applyFont="1" applyFill="1" applyBorder="1" applyProtection="1">
      <protection hidden="1"/>
    </xf>
    <xf numFmtId="38" fontId="3" fillId="5" borderId="10" xfId="0" applyNumberFormat="1" applyFont="1" applyFill="1" applyBorder="1" applyProtection="1">
      <protection hidden="1"/>
    </xf>
    <xf numFmtId="38" fontId="3" fillId="5" borderId="10" xfId="0" applyNumberFormat="1" applyFont="1" applyFill="1" applyBorder="1" applyAlignment="1" applyProtection="1">
      <alignment horizontal="right"/>
      <protection hidden="1"/>
    </xf>
    <xf numFmtId="38" fontId="3" fillId="5" borderId="0" xfId="0" applyNumberFormat="1" applyFont="1" applyFill="1" applyProtection="1">
      <protection hidden="1"/>
    </xf>
    <xf numFmtId="38" fontId="3" fillId="5" borderId="9" xfId="0" applyNumberFormat="1" applyFont="1" applyFill="1" applyBorder="1" applyProtection="1">
      <protection hidden="1"/>
    </xf>
    <xf numFmtId="166" fontId="3" fillId="0" borderId="3" xfId="0" applyNumberFormat="1" applyFont="1" applyBorder="1" applyProtection="1">
      <protection hidden="1"/>
    </xf>
    <xf numFmtId="38" fontId="3" fillId="0" borderId="33" xfId="0" applyNumberFormat="1" applyFont="1" applyBorder="1" applyProtection="1">
      <protection hidden="1"/>
    </xf>
    <xf numFmtId="38" fontId="3" fillId="5" borderId="33" xfId="0" applyNumberFormat="1" applyFont="1" applyFill="1" applyBorder="1" applyProtection="1">
      <protection hidden="1"/>
    </xf>
    <xf numFmtId="38" fontId="3" fillId="0" borderId="33" xfId="0" applyNumberFormat="1" applyFont="1" applyFill="1" applyBorder="1" applyProtection="1">
      <protection hidden="1"/>
    </xf>
    <xf numFmtId="38" fontId="3" fillId="2" borderId="8" xfId="0" applyNumberFormat="1" applyFont="1" applyFill="1" applyBorder="1" applyAlignment="1" applyProtection="1">
      <alignment horizontal="right"/>
      <protection hidden="1"/>
    </xf>
    <xf numFmtId="38" fontId="3" fillId="2" borderId="8" xfId="0" applyNumberFormat="1" applyFont="1" applyFill="1" applyBorder="1" applyProtection="1">
      <protection hidden="1"/>
    </xf>
    <xf numFmtId="0" fontId="3" fillId="2" borderId="8" xfId="0" applyFont="1" applyFill="1" applyBorder="1" applyProtection="1">
      <protection hidden="1"/>
    </xf>
    <xf numFmtId="38" fontId="3" fillId="5" borderId="4" xfId="0" applyNumberFormat="1" applyFont="1" applyFill="1" applyBorder="1" applyProtection="1">
      <protection hidden="1"/>
    </xf>
    <xf numFmtId="38" fontId="3" fillId="5" borderId="6" xfId="0" applyNumberFormat="1" applyFont="1" applyFill="1" applyBorder="1" applyProtection="1">
      <protection hidden="1"/>
    </xf>
    <xf numFmtId="38" fontId="3" fillId="5" borderId="8" xfId="0" applyNumberFormat="1" applyFont="1" applyFill="1" applyBorder="1" applyProtection="1">
      <protection hidden="1"/>
    </xf>
    <xf numFmtId="0" fontId="3" fillId="0" borderId="5" xfId="0" applyFont="1" applyBorder="1" applyProtection="1">
      <protection hidden="1"/>
    </xf>
    <xf numFmtId="0" fontId="3" fillId="0" borderId="6" xfId="0" applyFont="1" applyBorder="1" applyProtection="1">
      <protection hidden="1"/>
    </xf>
    <xf numFmtId="0" fontId="3" fillId="0" borderId="1" xfId="0" applyFont="1" applyFill="1" applyBorder="1" applyAlignment="1" applyProtection="1">
      <alignment horizontal="center"/>
      <protection hidden="1"/>
    </xf>
    <xf numFmtId="3" fontId="3" fillId="0" borderId="1" xfId="0" applyNumberFormat="1" applyFont="1" applyFill="1" applyBorder="1" applyAlignment="1" applyProtection="1">
      <alignment horizontal="right"/>
      <protection hidden="1"/>
    </xf>
    <xf numFmtId="3" fontId="3" fillId="0" borderId="1" xfId="0" applyNumberFormat="1" applyFont="1" applyFill="1" applyBorder="1" applyProtection="1">
      <protection hidden="1"/>
    </xf>
    <xf numFmtId="0" fontId="3" fillId="0" borderId="0" xfId="0" applyFont="1" applyBorder="1" applyProtection="1">
      <protection hidden="1"/>
    </xf>
    <xf numFmtId="3" fontId="3" fillId="5" borderId="1" xfId="0" applyNumberFormat="1" applyFont="1" applyFill="1" applyBorder="1" applyAlignment="1" applyProtection="1">
      <alignment horizontal="right"/>
      <protection hidden="1"/>
    </xf>
    <xf numFmtId="0" fontId="1" fillId="2" borderId="33" xfId="0" applyFont="1" applyFill="1" applyBorder="1" applyAlignment="1" applyProtection="1">
      <alignment horizontal="center"/>
      <protection hidden="1"/>
    </xf>
    <xf numFmtId="0" fontId="3" fillId="5" borderId="13" xfId="0" applyFont="1" applyFill="1" applyBorder="1" applyAlignment="1" applyProtection="1">
      <alignment horizontal="center" wrapText="1"/>
      <protection hidden="1"/>
    </xf>
    <xf numFmtId="0" fontId="3" fillId="5" borderId="7" xfId="0" applyFont="1" applyFill="1" applyBorder="1" applyAlignment="1" applyProtection="1">
      <alignment horizontal="center" wrapText="1"/>
      <protection hidden="1"/>
    </xf>
    <xf numFmtId="0" fontId="3" fillId="7" borderId="7" xfId="0" applyFont="1" applyFill="1" applyBorder="1" applyAlignment="1" applyProtection="1">
      <alignment horizontal="center" wrapText="1"/>
      <protection hidden="1"/>
    </xf>
    <xf numFmtId="10" fontId="3" fillId="5" borderId="7" xfId="0" applyNumberFormat="1" applyFont="1" applyFill="1" applyBorder="1" applyAlignment="1" applyProtection="1">
      <alignment horizontal="center"/>
      <protection hidden="1"/>
    </xf>
    <xf numFmtId="10" fontId="1" fillId="5" borderId="7" xfId="0" applyNumberFormat="1" applyFont="1" applyFill="1" applyBorder="1" applyAlignment="1" applyProtection="1">
      <alignment horizontal="center"/>
      <protection hidden="1"/>
    </xf>
    <xf numFmtId="10" fontId="3" fillId="5" borderId="2" xfId="0" applyNumberFormat="1" applyFont="1" applyFill="1" applyBorder="1" applyAlignment="1" applyProtection="1">
      <alignment horizontal="center"/>
      <protection hidden="1"/>
    </xf>
    <xf numFmtId="10" fontId="3" fillId="2" borderId="33" xfId="0" applyNumberFormat="1" applyFont="1" applyFill="1" applyBorder="1" applyAlignment="1" applyProtection="1">
      <alignment horizontal="center"/>
      <protection hidden="1"/>
    </xf>
    <xf numFmtId="10" fontId="3" fillId="10" borderId="1" xfId="0" applyNumberFormat="1" applyFont="1" applyFill="1" applyBorder="1" applyAlignment="1" applyProtection="1">
      <alignment horizontal="center"/>
      <protection hidden="1"/>
    </xf>
    <xf numFmtId="10" fontId="1" fillId="2" borderId="8" xfId="0" applyNumberFormat="1" applyFont="1" applyFill="1" applyBorder="1" applyAlignment="1" applyProtection="1">
      <alignment horizontal="center"/>
      <protection hidden="1"/>
    </xf>
    <xf numFmtId="10" fontId="3" fillId="7" borderId="1" xfId="0" applyNumberFormat="1" applyFont="1" applyFill="1" applyBorder="1" applyAlignment="1" applyProtection="1">
      <alignment horizontal="center"/>
      <protection hidden="1"/>
    </xf>
    <xf numFmtId="10" fontId="3" fillId="5" borderId="1" xfId="0" applyNumberFormat="1" applyFont="1" applyFill="1" applyBorder="1" applyAlignment="1" applyProtection="1">
      <alignment horizontal="center"/>
      <protection hidden="1"/>
    </xf>
    <xf numFmtId="10" fontId="1" fillId="5" borderId="1" xfId="0" applyNumberFormat="1" applyFont="1" applyFill="1" applyBorder="1" applyAlignment="1" applyProtection="1">
      <alignment horizontal="center"/>
      <protection hidden="1"/>
    </xf>
    <xf numFmtId="0" fontId="3" fillId="2" borderId="0" xfId="0" applyFont="1" applyFill="1" applyAlignment="1" applyProtection="1">
      <alignment horizontal="center"/>
      <protection hidden="1"/>
    </xf>
    <xf numFmtId="38" fontId="3" fillId="2" borderId="12" xfId="0" applyNumberFormat="1" applyFont="1" applyFill="1" applyBorder="1" applyProtection="1">
      <protection hidden="1"/>
    </xf>
    <xf numFmtId="0" fontId="3" fillId="2" borderId="13" xfId="0" applyFont="1" applyFill="1" applyBorder="1" applyProtection="1">
      <protection hidden="1"/>
    </xf>
    <xf numFmtId="0" fontId="3" fillId="2" borderId="10" xfId="0" applyFont="1" applyFill="1" applyBorder="1" applyProtection="1">
      <protection hidden="1"/>
    </xf>
    <xf numFmtId="0" fontId="3" fillId="2" borderId="12" xfId="0" applyFont="1" applyFill="1" applyBorder="1" applyProtection="1">
      <protection hidden="1"/>
    </xf>
    <xf numFmtId="40" fontId="3" fillId="0" borderId="1" xfId="0" applyNumberFormat="1" applyFont="1" applyBorder="1" applyProtection="1">
      <protection hidden="1"/>
    </xf>
    <xf numFmtId="38" fontId="3" fillId="9" borderId="1" xfId="0" applyNumberFormat="1" applyFont="1" applyFill="1" applyBorder="1" applyProtection="1">
      <protection hidden="1"/>
    </xf>
    <xf numFmtId="0" fontId="3" fillId="9" borderId="1" xfId="0" applyFont="1" applyFill="1" applyBorder="1" applyProtection="1">
      <protection hidden="1"/>
    </xf>
    <xf numFmtId="38" fontId="3" fillId="0" borderId="8" xfId="0" applyNumberFormat="1" applyFont="1" applyBorder="1" applyProtection="1">
      <protection hidden="1"/>
    </xf>
    <xf numFmtId="38" fontId="3" fillId="9" borderId="8" xfId="0" applyNumberFormat="1" applyFont="1" applyFill="1" applyBorder="1" applyProtection="1">
      <protection hidden="1"/>
    </xf>
    <xf numFmtId="165" fontId="1" fillId="2" borderId="33" xfId="0" applyNumberFormat="1" applyFont="1" applyFill="1" applyBorder="1" applyProtection="1">
      <protection hidden="1"/>
    </xf>
    <xf numFmtId="0" fontId="3" fillId="0" borderId="6" xfId="0" applyFont="1" applyFill="1" applyBorder="1" applyAlignment="1" applyProtection="1">
      <alignment horizontal="center"/>
      <protection hidden="1"/>
    </xf>
    <xf numFmtId="165" fontId="1" fillId="2" borderId="8" xfId="0" applyNumberFormat="1" applyFont="1" applyFill="1" applyBorder="1" applyProtection="1">
      <protection hidden="1"/>
    </xf>
    <xf numFmtId="164" fontId="3" fillId="0" borderId="0" xfId="0" applyNumberFormat="1" applyFont="1" applyAlignment="1" applyProtection="1">
      <alignment horizontal="center"/>
      <protection hidden="1"/>
    </xf>
    <xf numFmtId="0" fontId="3" fillId="0" borderId="0" xfId="0" applyFont="1" applyAlignment="1" applyProtection="1">
      <alignment horizontal="center"/>
      <protection hidden="1"/>
    </xf>
    <xf numFmtId="164" fontId="3" fillId="0" borderId="0" xfId="0" applyNumberFormat="1" applyFont="1" applyProtection="1">
      <protection hidden="1"/>
    </xf>
    <xf numFmtId="0" fontId="3" fillId="6" borderId="1" xfId="0" applyFont="1" applyFill="1" applyBorder="1" applyProtection="1">
      <protection hidden="1"/>
    </xf>
    <xf numFmtId="164" fontId="1" fillId="7" borderId="1" xfId="0" applyNumberFormat="1" applyFont="1" applyFill="1" applyBorder="1" applyAlignment="1" applyProtection="1">
      <alignment horizontal="center"/>
      <protection hidden="1"/>
    </xf>
    <xf numFmtId="0" fontId="1" fillId="0" borderId="0" xfId="0" applyFont="1" applyProtection="1">
      <protection hidden="1"/>
    </xf>
    <xf numFmtId="0" fontId="3" fillId="0" borderId="0" xfId="0" applyFont="1" applyAlignment="1" applyProtection="1">
      <alignment horizontal="left" indent="1"/>
      <protection hidden="1"/>
    </xf>
    <xf numFmtId="38" fontId="1" fillId="0" borderId="0" xfId="0" applyNumberFormat="1" applyFont="1" applyProtection="1">
      <protection hidden="1"/>
    </xf>
    <xf numFmtId="0" fontId="1" fillId="0" borderId="0" xfId="0" applyFont="1" applyAlignment="1" applyProtection="1">
      <alignment horizontal="left"/>
      <protection hidden="1"/>
    </xf>
    <xf numFmtId="0" fontId="3" fillId="5" borderId="1" xfId="0" applyFont="1" applyFill="1" applyBorder="1" applyAlignment="1" applyProtection="1">
      <alignment horizontal="center"/>
      <protection hidden="1"/>
    </xf>
    <xf numFmtId="0" fontId="3" fillId="2" borderId="2" xfId="0" applyFont="1" applyFill="1" applyBorder="1" applyProtection="1">
      <protection hidden="1"/>
    </xf>
    <xf numFmtId="38" fontId="3" fillId="2" borderId="14" xfId="0" applyNumberFormat="1" applyFont="1" applyFill="1" applyBorder="1" applyProtection="1">
      <protection hidden="1"/>
    </xf>
    <xf numFmtId="38" fontId="3" fillId="2" borderId="11" xfId="0" applyNumberFormat="1" applyFont="1" applyFill="1" applyBorder="1" applyProtection="1">
      <protection hidden="1"/>
    </xf>
    <xf numFmtId="0" fontId="3" fillId="2" borderId="1" xfId="0" applyFont="1" applyFill="1" applyBorder="1" applyProtection="1">
      <protection hidden="1"/>
    </xf>
    <xf numFmtId="0" fontId="3" fillId="2" borderId="9" xfId="0" applyFont="1" applyFill="1" applyBorder="1" applyProtection="1">
      <protection hidden="1"/>
    </xf>
    <xf numFmtId="38" fontId="3" fillId="2" borderId="0" xfId="0" applyNumberFormat="1" applyFont="1" applyFill="1" applyBorder="1" applyProtection="1">
      <protection hidden="1"/>
    </xf>
    <xf numFmtId="38" fontId="3" fillId="2" borderId="3" xfId="0" applyNumberFormat="1" applyFont="1" applyFill="1" applyBorder="1" applyProtection="1">
      <protection hidden="1"/>
    </xf>
    <xf numFmtId="0" fontId="1" fillId="10" borderId="4" xfId="0" applyFont="1" applyFill="1" applyBorder="1" applyProtection="1">
      <protection hidden="1"/>
    </xf>
    <xf numFmtId="38" fontId="3" fillId="2" borderId="5" xfId="0" applyNumberFormat="1" applyFont="1" applyFill="1" applyBorder="1" applyProtection="1">
      <protection hidden="1"/>
    </xf>
    <xf numFmtId="38" fontId="3" fillId="2" borderId="6" xfId="0" applyNumberFormat="1" applyFont="1" applyFill="1" applyBorder="1" applyProtection="1">
      <protection hidden="1"/>
    </xf>
    <xf numFmtId="0" fontId="3" fillId="8" borderId="1" xfId="0" applyFont="1" applyFill="1" applyBorder="1" applyAlignment="1" applyProtection="1">
      <alignment horizontal="left" indent="1"/>
      <protection hidden="1"/>
    </xf>
    <xf numFmtId="0" fontId="3" fillId="0" borderId="8" xfId="0" applyFont="1" applyBorder="1" applyProtection="1">
      <protection hidden="1"/>
    </xf>
    <xf numFmtId="0" fontId="1" fillId="8" borderId="1" xfId="0" applyFont="1" applyFill="1" applyBorder="1" applyAlignment="1" applyProtection="1">
      <alignment horizontal="left" indent="1"/>
      <protection hidden="1"/>
    </xf>
    <xf numFmtId="0" fontId="1" fillId="8" borderId="7" xfId="0" applyFont="1" applyFill="1" applyBorder="1" applyAlignment="1" applyProtection="1">
      <alignment horizontal="left" indent="1"/>
      <protection hidden="1"/>
    </xf>
    <xf numFmtId="165" fontId="3" fillId="2" borderId="14" xfId="0" applyNumberFormat="1" applyFont="1" applyFill="1" applyBorder="1" applyProtection="1">
      <protection hidden="1"/>
    </xf>
    <xf numFmtId="165" fontId="3" fillId="2" borderId="11" xfId="0" applyNumberFormat="1" applyFont="1" applyFill="1" applyBorder="1" applyProtection="1">
      <protection hidden="1"/>
    </xf>
    <xf numFmtId="38" fontId="3" fillId="2" borderId="13" xfId="0" applyNumberFormat="1" applyFont="1" applyFill="1" applyBorder="1" applyProtection="1">
      <protection hidden="1"/>
    </xf>
    <xf numFmtId="38" fontId="3" fillId="2" borderId="10" xfId="0" applyNumberFormat="1" applyFont="1" applyFill="1" applyBorder="1" applyProtection="1">
      <protection hidden="1"/>
    </xf>
    <xf numFmtId="38" fontId="3" fillId="2" borderId="0" xfId="0" applyNumberFormat="1" applyFont="1" applyFill="1" applyProtection="1">
      <protection hidden="1"/>
    </xf>
    <xf numFmtId="0" fontId="1" fillId="10" borderId="1" xfId="0" applyFont="1" applyFill="1" applyBorder="1" applyProtection="1">
      <protection hidden="1"/>
    </xf>
    <xf numFmtId="0" fontId="3" fillId="0" borderId="11" xfId="0" applyFont="1" applyBorder="1" applyProtection="1">
      <protection hidden="1"/>
    </xf>
    <xf numFmtId="0" fontId="3" fillId="5" borderId="1" xfId="0" applyFont="1" applyFill="1" applyBorder="1" applyAlignment="1" applyProtection="1">
      <alignment horizontal="left"/>
      <protection hidden="1"/>
    </xf>
    <xf numFmtId="38" fontId="3" fillId="0" borderId="3" xfId="0" applyNumberFormat="1" applyFont="1" applyBorder="1" applyProtection="1">
      <protection hidden="1"/>
    </xf>
    <xf numFmtId="0" fontId="3" fillId="5" borderId="1" xfId="0" applyFont="1" applyFill="1" applyBorder="1" applyProtection="1">
      <protection hidden="1"/>
    </xf>
    <xf numFmtId="10" fontId="3" fillId="0" borderId="3" xfId="0" applyNumberFormat="1" applyFont="1" applyBorder="1" applyAlignment="1" applyProtection="1">
      <alignment horizontal="left" indent="1"/>
      <protection hidden="1"/>
    </xf>
    <xf numFmtId="0" fontId="3" fillId="6" borderId="33" xfId="0" applyFont="1" applyFill="1" applyBorder="1" applyProtection="1">
      <protection hidden="1"/>
    </xf>
    <xf numFmtId="10" fontId="1" fillId="9" borderId="3" xfId="0" applyNumberFormat="1" applyFont="1" applyFill="1" applyBorder="1" applyAlignment="1" applyProtection="1">
      <alignment horizontal="left" indent="1"/>
      <protection hidden="1"/>
    </xf>
    <xf numFmtId="0" fontId="3" fillId="6" borderId="8" xfId="0" applyFont="1" applyFill="1" applyBorder="1" applyProtection="1">
      <protection hidden="1"/>
    </xf>
    <xf numFmtId="0" fontId="1" fillId="8" borderId="12" xfId="0" applyFont="1" applyFill="1" applyBorder="1" applyProtection="1">
      <protection hidden="1"/>
    </xf>
    <xf numFmtId="10" fontId="1" fillId="8" borderId="1" xfId="0" applyNumberFormat="1" applyFont="1" applyFill="1" applyBorder="1" applyAlignment="1" applyProtection="1">
      <alignment horizontal="left" indent="1"/>
      <protection hidden="1"/>
    </xf>
    <xf numFmtId="0" fontId="3" fillId="0" borderId="9" xfId="0" applyFont="1" applyBorder="1" applyProtection="1">
      <protection hidden="1"/>
    </xf>
    <xf numFmtId="0" fontId="3" fillId="0" borderId="4" xfId="0" applyFont="1" applyBorder="1" applyProtection="1">
      <protection hidden="1"/>
    </xf>
    <xf numFmtId="38" fontId="3" fillId="0" borderId="11" xfId="0" applyNumberFormat="1" applyFont="1" applyBorder="1" applyProtection="1">
      <protection hidden="1"/>
    </xf>
    <xf numFmtId="0" fontId="3" fillId="5" borderId="2" xfId="0" applyFont="1" applyFill="1" applyBorder="1" applyProtection="1">
      <protection hidden="1"/>
    </xf>
    <xf numFmtId="38" fontId="3" fillId="0" borderId="33" xfId="0" applyNumberFormat="1" applyFont="1" applyFill="1" applyBorder="1" applyAlignment="1" applyProtection="1">
      <alignment horizontal="left" indent="1"/>
      <protection hidden="1"/>
    </xf>
    <xf numFmtId="0" fontId="3" fillId="5" borderId="4" xfId="0" applyFont="1" applyFill="1" applyBorder="1" applyProtection="1">
      <protection hidden="1"/>
    </xf>
    <xf numFmtId="0" fontId="3" fillId="7" borderId="2" xfId="0" applyFont="1" applyFill="1" applyBorder="1" applyProtection="1">
      <protection hidden="1"/>
    </xf>
    <xf numFmtId="0" fontId="3" fillId="7" borderId="4" xfId="0" applyFont="1" applyFill="1" applyBorder="1" applyProtection="1">
      <protection hidden="1"/>
    </xf>
    <xf numFmtId="38" fontId="3" fillId="9" borderId="33" xfId="0" applyNumberFormat="1" applyFont="1" applyFill="1" applyBorder="1" applyAlignment="1" applyProtection="1">
      <alignment horizontal="left" indent="1"/>
      <protection hidden="1"/>
    </xf>
    <xf numFmtId="38" fontId="3" fillId="0" borderId="3" xfId="0" applyNumberFormat="1" applyFont="1" applyBorder="1" applyAlignment="1" applyProtection="1">
      <alignment horizontal="left" indent="1"/>
      <protection hidden="1"/>
    </xf>
    <xf numFmtId="38" fontId="3" fillId="0" borderId="0" xfId="0" applyNumberFormat="1" applyFont="1" applyAlignment="1" applyProtection="1">
      <alignment horizontal="left" indent="1"/>
      <protection hidden="1"/>
    </xf>
    <xf numFmtId="10" fontId="1" fillId="0" borderId="0" xfId="0" applyNumberFormat="1" applyFont="1" applyAlignment="1" applyProtection="1">
      <alignment horizontal="left" indent="1"/>
      <protection hidden="1"/>
    </xf>
    <xf numFmtId="165" fontId="1" fillId="0" borderId="1" xfId="0" applyNumberFormat="1" applyFont="1" applyBorder="1" applyAlignment="1" applyProtection="1">
      <alignment horizontal="right"/>
      <protection locked="0"/>
    </xf>
    <xf numFmtId="165" fontId="1" fillId="5" borderId="1" xfId="0" applyNumberFormat="1" applyFont="1" applyFill="1" applyBorder="1" applyAlignment="1" applyProtection="1">
      <alignment horizontal="right"/>
      <protection locked="0"/>
    </xf>
    <xf numFmtId="165" fontId="1" fillId="0" borderId="1" xfId="0" applyNumberFormat="1" applyFont="1" applyBorder="1" applyAlignment="1" applyProtection="1">
      <alignment horizontal="right"/>
    </xf>
    <xf numFmtId="165" fontId="1" fillId="5" borderId="1" xfId="0" applyNumberFormat="1" applyFont="1" applyFill="1" applyBorder="1" applyAlignment="1" applyProtection="1">
      <alignment horizontal="right"/>
    </xf>
    <xf numFmtId="165" fontId="1" fillId="6" borderId="20" xfId="0" applyNumberFormat="1" applyFont="1" applyFill="1" applyBorder="1" applyAlignment="1" applyProtection="1">
      <alignment horizontal="right"/>
      <protection locked="0"/>
    </xf>
    <xf numFmtId="165" fontId="1" fillId="6" borderId="20" xfId="0" applyNumberFormat="1" applyFont="1" applyFill="1" applyBorder="1" applyAlignment="1" applyProtection="1">
      <alignment horizontal="right"/>
    </xf>
    <xf numFmtId="165" fontId="1" fillId="6" borderId="32" xfId="0" applyNumberFormat="1" applyFont="1" applyFill="1" applyBorder="1" applyAlignment="1" applyProtection="1">
      <alignment horizontal="right"/>
    </xf>
    <xf numFmtId="165" fontId="1" fillId="0" borderId="9" xfId="0" applyNumberFormat="1" applyFont="1" applyFill="1" applyBorder="1" applyAlignment="1" applyProtection="1">
      <alignment horizontal="right"/>
      <protection locked="0"/>
    </xf>
    <xf numFmtId="165" fontId="1" fillId="0" borderId="33" xfId="0" applyNumberFormat="1" applyFont="1" applyFill="1" applyBorder="1" applyAlignment="1" applyProtection="1">
      <alignment horizontal="right"/>
      <protection locked="0"/>
    </xf>
    <xf numFmtId="165" fontId="1" fillId="0" borderId="8" xfId="0" applyNumberFormat="1" applyFont="1" applyFill="1" applyBorder="1" applyAlignment="1" applyProtection="1">
      <alignment horizontal="right"/>
      <protection locked="0"/>
    </xf>
    <xf numFmtId="10" fontId="1" fillId="5" borderId="1" xfId="0" applyNumberFormat="1" applyFont="1" applyFill="1" applyBorder="1" applyAlignment="1" applyProtection="1">
      <alignment horizontal="right"/>
    </xf>
    <xf numFmtId="40" fontId="1" fillId="5" borderId="1" xfId="0" applyNumberFormat="1" applyFont="1" applyFill="1" applyBorder="1" applyAlignment="1" applyProtection="1">
      <alignment horizontal="right"/>
    </xf>
    <xf numFmtId="10" fontId="1" fillId="0" borderId="1" xfId="0" applyNumberFormat="1" applyFont="1" applyFill="1" applyBorder="1" applyAlignment="1" applyProtection="1">
      <alignment horizontal="right"/>
    </xf>
    <xf numFmtId="40" fontId="1" fillId="0" borderId="1" xfId="0" applyNumberFormat="1" applyFont="1" applyFill="1" applyBorder="1" applyAlignment="1" applyProtection="1">
      <alignment horizontal="right"/>
    </xf>
    <xf numFmtId="165" fontId="1" fillId="0" borderId="1" xfId="0" applyNumberFormat="1" applyFont="1" applyFill="1" applyBorder="1" applyAlignment="1" applyProtection="1">
      <alignment horizontal="right"/>
      <protection locked="0"/>
    </xf>
    <xf numFmtId="165" fontId="1" fillId="9" borderId="1" xfId="0" applyNumberFormat="1" applyFont="1" applyFill="1" applyBorder="1" applyAlignment="1" applyProtection="1">
      <alignment horizontal="right"/>
      <protection locked="0"/>
    </xf>
    <xf numFmtId="165" fontId="1" fillId="0" borderId="1" xfId="0" applyNumberFormat="1" applyFont="1" applyFill="1" applyBorder="1" applyAlignment="1" applyProtection="1">
      <alignment horizontal="right"/>
    </xf>
    <xf numFmtId="165" fontId="1" fillId="9" borderId="1" xfId="0" applyNumberFormat="1" applyFont="1" applyFill="1" applyBorder="1" applyAlignment="1" applyProtection="1">
      <alignment horizontal="right"/>
    </xf>
    <xf numFmtId="10" fontId="1" fillId="0" borderId="1" xfId="0" applyNumberFormat="1" applyFont="1" applyBorder="1" applyAlignment="1" applyProtection="1">
      <alignment horizontal="right"/>
    </xf>
    <xf numFmtId="40" fontId="1" fillId="0" borderId="7" xfId="0" applyNumberFormat="1" applyFont="1" applyBorder="1" applyAlignment="1" applyProtection="1">
      <alignment horizontal="right"/>
    </xf>
    <xf numFmtId="165" fontId="1" fillId="0" borderId="1" xfId="0" applyNumberFormat="1" applyFont="1" applyBorder="1" applyProtection="1">
      <protection locked="0"/>
    </xf>
    <xf numFmtId="165" fontId="1" fillId="0" borderId="7" xfId="0" applyNumberFormat="1" applyFont="1" applyBorder="1" applyAlignment="1" applyProtection="1">
      <alignment horizontal="right"/>
      <protection locked="0"/>
    </xf>
    <xf numFmtId="0" fontId="1" fillId="13" borderId="2" xfId="0" applyFont="1" applyFill="1" applyBorder="1" applyAlignment="1" applyProtection="1">
      <alignment horizontal="left"/>
      <protection hidden="1"/>
    </xf>
    <xf numFmtId="0" fontId="0" fillId="2" borderId="41" xfId="0" applyFill="1" applyBorder="1"/>
    <xf numFmtId="0" fontId="1" fillId="8" borderId="2" xfId="3" applyFont="1" applyFill="1" applyBorder="1" applyAlignment="1">
      <alignment horizontal="center" vertical="center" wrapText="1"/>
    </xf>
    <xf numFmtId="0" fontId="1" fillId="8" borderId="14" xfId="3" applyFont="1" applyFill="1" applyBorder="1" applyAlignment="1">
      <alignment horizontal="center" vertical="center" wrapText="1"/>
    </xf>
    <xf numFmtId="0" fontId="1" fillId="8" borderId="39" xfId="3" applyFont="1" applyFill="1" applyBorder="1" applyAlignment="1">
      <alignment horizontal="center" vertical="center" wrapText="1"/>
    </xf>
    <xf numFmtId="0" fontId="1" fillId="8" borderId="4" xfId="3" applyFont="1" applyFill="1" applyBorder="1" applyAlignment="1">
      <alignment horizontal="center" vertical="center" wrapText="1"/>
    </xf>
    <xf numFmtId="0" fontId="1" fillId="8" borderId="5" xfId="3" applyFont="1" applyFill="1" applyBorder="1" applyAlignment="1">
      <alignment horizontal="center" vertical="center" wrapText="1"/>
    </xf>
    <xf numFmtId="0" fontId="1" fillId="8" borderId="40" xfId="3"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9" fillId="8" borderId="39"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8" borderId="17"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40" xfId="0" applyFont="1" applyFill="1" applyBorder="1" applyAlignment="1">
      <alignment horizontal="center" vertical="center" wrapText="1"/>
    </xf>
    <xf numFmtId="0" fontId="11" fillId="13" borderId="12" xfId="0" applyFont="1" applyFill="1" applyBorder="1" applyAlignment="1">
      <alignment horizontal="center"/>
    </xf>
    <xf numFmtId="0" fontId="11" fillId="13" borderId="13" xfId="0" applyFont="1" applyFill="1" applyBorder="1" applyAlignment="1">
      <alignment horizontal="center"/>
    </xf>
    <xf numFmtId="0" fontId="11" fillId="13" borderId="22" xfId="0" applyFont="1" applyFill="1" applyBorder="1" applyAlignment="1">
      <alignment horizontal="center"/>
    </xf>
    <xf numFmtId="0" fontId="2" fillId="0" borderId="9" xfId="0" applyFont="1" applyFill="1" applyBorder="1" applyAlignment="1">
      <alignment horizontal="center"/>
    </xf>
    <xf numFmtId="0" fontId="2" fillId="0" borderId="0" xfId="0" applyFont="1" applyFill="1" applyBorder="1" applyAlignment="1">
      <alignment horizontal="center"/>
    </xf>
    <xf numFmtId="0" fontId="1" fillId="8" borderId="12" xfId="0" applyFont="1" applyFill="1" applyBorder="1" applyAlignment="1" applyProtection="1">
      <alignment horizontal="center"/>
      <protection hidden="1"/>
    </xf>
    <xf numFmtId="0" fontId="1" fillId="8" borderId="10" xfId="0" applyFont="1" applyFill="1" applyBorder="1" applyAlignment="1" applyProtection="1">
      <alignment horizontal="center"/>
      <protection hidden="1"/>
    </xf>
    <xf numFmtId="0" fontId="1" fillId="6" borderId="12" xfId="0" applyFont="1" applyFill="1" applyBorder="1" applyAlignment="1" applyProtection="1">
      <alignment horizontal="center"/>
      <protection hidden="1"/>
    </xf>
    <xf numFmtId="0" fontId="1" fillId="6" borderId="10" xfId="0" applyFont="1" applyFill="1" applyBorder="1" applyAlignment="1" applyProtection="1">
      <alignment horizontal="center"/>
      <protection hidden="1"/>
    </xf>
    <xf numFmtId="0" fontId="1" fillId="6" borderId="4" xfId="0" applyFont="1" applyFill="1" applyBorder="1" applyAlignment="1" applyProtection="1">
      <alignment horizontal="center"/>
      <protection hidden="1"/>
    </xf>
    <xf numFmtId="0" fontId="1" fillId="6" borderId="5" xfId="0" applyFont="1" applyFill="1" applyBorder="1" applyAlignment="1" applyProtection="1">
      <alignment horizontal="center"/>
      <protection hidden="1"/>
    </xf>
    <xf numFmtId="0" fontId="1" fillId="6" borderId="6" xfId="0" applyFont="1" applyFill="1" applyBorder="1" applyAlignment="1" applyProtection="1">
      <alignment horizontal="center"/>
      <protection hidden="1"/>
    </xf>
    <xf numFmtId="0" fontId="1" fillId="10" borderId="12" xfId="0" applyFont="1" applyFill="1" applyBorder="1" applyAlignment="1" applyProtection="1">
      <alignment horizontal="center"/>
      <protection hidden="1"/>
    </xf>
    <xf numFmtId="0" fontId="1" fillId="10" borderId="13" xfId="0" applyFont="1" applyFill="1" applyBorder="1" applyAlignment="1" applyProtection="1">
      <alignment horizontal="center"/>
      <protection hidden="1"/>
    </xf>
    <xf numFmtId="0" fontId="1" fillId="10" borderId="10" xfId="0" applyFont="1" applyFill="1" applyBorder="1" applyAlignment="1" applyProtection="1">
      <alignment horizontal="center"/>
      <protection hidden="1"/>
    </xf>
    <xf numFmtId="0" fontId="1" fillId="6" borderId="13" xfId="0" applyFont="1" applyFill="1" applyBorder="1" applyAlignment="1" applyProtection="1">
      <alignment horizontal="center"/>
      <protection hidden="1"/>
    </xf>
    <xf numFmtId="0" fontId="1" fillId="8" borderId="13" xfId="0" applyFont="1" applyFill="1" applyBorder="1" applyAlignment="1" applyProtection="1">
      <alignment horizontal="center"/>
      <protection hidden="1"/>
    </xf>
    <xf numFmtId="0" fontId="3" fillId="7" borderId="12" xfId="0" applyFont="1" applyFill="1" applyBorder="1" applyAlignment="1" applyProtection="1">
      <alignment horizontal="center" wrapText="1"/>
      <protection hidden="1"/>
    </xf>
    <xf numFmtId="0" fontId="3" fillId="7" borderId="13" xfId="0" applyFont="1" applyFill="1" applyBorder="1" applyAlignment="1" applyProtection="1">
      <alignment horizontal="center" wrapText="1"/>
      <protection hidden="1"/>
    </xf>
    <xf numFmtId="0" fontId="9" fillId="2" borderId="5" xfId="0" applyFont="1" applyFill="1" applyBorder="1" applyAlignment="1">
      <alignment horizontal="center"/>
    </xf>
    <xf numFmtId="0" fontId="9" fillId="2" borderId="40" xfId="0" applyFont="1" applyFill="1" applyBorder="1" applyAlignment="1">
      <alignment horizontal="center"/>
    </xf>
    <xf numFmtId="0" fontId="12" fillId="2" borderId="4" xfId="5" applyFill="1" applyBorder="1" applyAlignment="1" applyProtection="1">
      <alignment horizontal="center"/>
    </xf>
  </cellXfs>
  <cellStyles count="6">
    <cellStyle name="Hyperlink" xfId="5" builtinId="8"/>
    <cellStyle name="Normal" xfId="0" builtinId="0"/>
    <cellStyle name="Normal 2" xfId="1"/>
    <cellStyle name="Normal 3" xfId="2"/>
    <cellStyle name="Normal 4" xfId="3"/>
    <cellStyle name="Percent 2"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globaliconnect.com/"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466725</xdr:colOff>
      <xdr:row>0</xdr:row>
      <xdr:rowOff>0</xdr:rowOff>
    </xdr:from>
    <xdr:to>
      <xdr:col>13</xdr:col>
      <xdr:colOff>352425</xdr:colOff>
      <xdr:row>1</xdr:row>
      <xdr:rowOff>66675</xdr:rowOff>
    </xdr:to>
    <xdr:pic>
      <xdr:nvPicPr>
        <xdr:cNvPr id="2" name="Picture 1" descr="gic_logo.gif">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9067800" y="0"/>
          <a:ext cx="1095375" cy="2762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globaliconnect.com/excel_models.ph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tabColor rgb="FFFFFF00"/>
  </sheetPr>
  <dimension ref="A1:R177"/>
  <sheetViews>
    <sheetView tabSelected="1" workbookViewId="0">
      <selection activeCell="I2" sqref="I2"/>
    </sheetView>
  </sheetViews>
  <sheetFormatPr defaultRowHeight="12.75"/>
  <cols>
    <col min="1" max="1" width="10" customWidth="1"/>
    <col min="2" max="2" width="18.140625" customWidth="1"/>
    <col min="3" max="3" width="11.85546875" customWidth="1"/>
    <col min="4" max="4" width="9" customWidth="1"/>
    <col min="5" max="5" width="10.28515625" customWidth="1"/>
    <col min="6" max="6" width="3.28515625" customWidth="1"/>
    <col min="7" max="7" width="11.85546875" customWidth="1"/>
    <col min="8" max="8" width="17.5703125" customWidth="1"/>
    <col min="9" max="9" width="10.42578125" customWidth="1"/>
    <col min="10" max="10" width="11" customWidth="1"/>
    <col min="11" max="11" width="3.7109375" customWidth="1"/>
    <col min="12" max="12" width="11.85546875" customWidth="1"/>
    <col min="13" max="13" width="18.140625" customWidth="1"/>
    <col min="14" max="14" width="12.28515625" customWidth="1"/>
    <col min="15" max="15" width="11.140625" customWidth="1"/>
    <col min="17" max="17" width="9.5703125" bestFit="1" customWidth="1"/>
  </cols>
  <sheetData>
    <row r="1" spans="1:18" ht="17.100000000000001" customHeight="1">
      <c r="A1" s="79" t="s">
        <v>75</v>
      </c>
      <c r="B1" s="80"/>
      <c r="C1" s="81"/>
      <c r="D1" s="45"/>
      <c r="E1" s="45"/>
      <c r="F1" s="311"/>
      <c r="G1" s="330"/>
      <c r="H1" s="331"/>
      <c r="I1" s="331"/>
      <c r="J1" s="45"/>
      <c r="K1" s="35"/>
      <c r="L1" s="62"/>
      <c r="M1" s="50"/>
      <c r="N1" s="50"/>
      <c r="O1" s="51"/>
    </row>
    <row r="2" spans="1:18" ht="15" customHeight="1">
      <c r="A2" s="44"/>
      <c r="B2" s="24"/>
      <c r="C2" s="24"/>
      <c r="D2" s="24"/>
      <c r="E2" s="91" t="s">
        <v>133</v>
      </c>
      <c r="F2" s="34"/>
      <c r="G2" s="24"/>
      <c r="H2" s="24"/>
      <c r="I2" s="24"/>
      <c r="J2" s="24"/>
      <c r="K2" s="34"/>
      <c r="L2" s="348" t="s">
        <v>144</v>
      </c>
      <c r="M2" s="346"/>
      <c r="N2" s="346"/>
      <c r="O2" s="347"/>
    </row>
    <row r="3" spans="1:18">
      <c r="A3" s="55" t="s">
        <v>134</v>
      </c>
      <c r="B3" s="7"/>
      <c r="C3" s="93">
        <v>20000000</v>
      </c>
      <c r="D3" s="18" t="s">
        <v>42</v>
      </c>
      <c r="E3" s="91" t="str">
        <f>IF(C3&lt;=0,"Error","")</f>
        <v/>
      </c>
      <c r="F3" s="34"/>
      <c r="G3" s="84" t="s">
        <v>41</v>
      </c>
      <c r="H3" s="6"/>
      <c r="I3" s="18"/>
      <c r="J3" s="18"/>
      <c r="K3" s="54"/>
      <c r="L3" s="327" t="s">
        <v>79</v>
      </c>
      <c r="M3" s="328"/>
      <c r="N3" s="328"/>
      <c r="O3" s="329"/>
      <c r="Q3" s="53"/>
    </row>
    <row r="4" spans="1:18">
      <c r="A4" s="37" t="s">
        <v>22</v>
      </c>
      <c r="B4" s="8"/>
      <c r="C4" s="93">
        <v>500000</v>
      </c>
      <c r="D4" s="18" t="s">
        <v>42</v>
      </c>
      <c r="E4" s="91"/>
      <c r="F4" s="34"/>
      <c r="G4" s="24"/>
      <c r="H4" s="21"/>
      <c r="I4" s="18"/>
      <c r="J4" s="18"/>
      <c r="K4" s="34"/>
      <c r="L4" s="24"/>
      <c r="M4" s="24"/>
      <c r="N4" s="24"/>
      <c r="O4" s="49"/>
      <c r="Q4" s="52"/>
    </row>
    <row r="5" spans="1:18">
      <c r="A5" s="37" t="s">
        <v>19</v>
      </c>
      <c r="B5" s="8"/>
      <c r="C5" s="93">
        <v>200000</v>
      </c>
      <c r="D5" s="18" t="s">
        <v>42</v>
      </c>
      <c r="E5" s="91"/>
      <c r="F5" s="34"/>
      <c r="G5" s="25" t="s">
        <v>129</v>
      </c>
      <c r="H5" s="19"/>
      <c r="I5" s="18"/>
      <c r="J5" s="18"/>
      <c r="K5" s="34"/>
      <c r="L5" s="67" t="s">
        <v>142</v>
      </c>
      <c r="M5" s="68"/>
      <c r="N5" s="68"/>
      <c r="O5" s="69"/>
      <c r="Q5" s="52"/>
      <c r="R5" s="52"/>
    </row>
    <row r="6" spans="1:18">
      <c r="A6" s="37" t="s">
        <v>21</v>
      </c>
      <c r="B6" s="8"/>
      <c r="C6" s="11">
        <f>SUM(C3:C5)</f>
        <v>20700000</v>
      </c>
      <c r="D6" s="18" t="s">
        <v>42</v>
      </c>
      <c r="E6" s="91" t="str">
        <f>IF(C6&lt;=0,"Error","")</f>
        <v/>
      </c>
      <c r="F6" s="34"/>
      <c r="G6" s="26" t="s">
        <v>28</v>
      </c>
      <c r="H6" s="20"/>
      <c r="I6" s="101">
        <v>47000</v>
      </c>
      <c r="J6" s="18" t="s">
        <v>42</v>
      </c>
      <c r="K6" s="34"/>
      <c r="L6" s="56"/>
      <c r="M6" s="57"/>
      <c r="N6" s="57"/>
      <c r="O6" s="58"/>
      <c r="Q6" s="52"/>
    </row>
    <row r="7" spans="1:18">
      <c r="A7" s="38" t="s">
        <v>23</v>
      </c>
      <c r="B7" s="9"/>
      <c r="C7" s="94">
        <v>40162</v>
      </c>
      <c r="D7" s="18"/>
      <c r="E7" s="91" t="str">
        <f>IF(C7&lt;=0,"Error","")</f>
        <v/>
      </c>
      <c r="F7" s="34"/>
      <c r="G7" s="27" t="s">
        <v>37</v>
      </c>
      <c r="H7" s="21"/>
      <c r="I7" s="102">
        <v>2</v>
      </c>
      <c r="J7" s="18"/>
      <c r="K7" s="34"/>
      <c r="L7" s="70" t="s">
        <v>78</v>
      </c>
      <c r="M7" s="71"/>
      <c r="N7" s="71"/>
      <c r="O7" s="72"/>
      <c r="Q7" s="52"/>
    </row>
    <row r="8" spans="1:18">
      <c r="A8" s="44"/>
      <c r="B8" s="24"/>
      <c r="C8" s="18"/>
      <c r="D8" s="18"/>
      <c r="E8" s="91"/>
      <c r="F8" s="34"/>
      <c r="G8" s="27" t="s">
        <v>39</v>
      </c>
      <c r="H8" s="21"/>
      <c r="I8" s="100">
        <v>3.5000000000000003E-2</v>
      </c>
      <c r="J8" s="18"/>
      <c r="K8" s="34"/>
      <c r="L8" s="73" t="s">
        <v>130</v>
      </c>
      <c r="M8" s="74"/>
      <c r="N8" s="74"/>
      <c r="O8" s="75"/>
      <c r="Q8" s="52"/>
    </row>
    <row r="9" spans="1:18">
      <c r="A9" s="36" t="s">
        <v>20</v>
      </c>
      <c r="B9" s="7"/>
      <c r="C9" s="12">
        <f>IF(leveraged_property,total_initial_cost-loan_amount,total_initial_cost)</f>
        <v>11200000</v>
      </c>
      <c r="D9" s="18" t="s">
        <v>42</v>
      </c>
      <c r="E9" s="91" t="str">
        <f>IF(C9&lt;=0,"Error","")</f>
        <v/>
      </c>
      <c r="F9" s="34"/>
      <c r="G9" s="28" t="s">
        <v>29</v>
      </c>
      <c r="H9" s="7"/>
      <c r="I9" s="101">
        <v>12000</v>
      </c>
      <c r="J9" s="18" t="s">
        <v>42</v>
      </c>
      <c r="K9" s="34"/>
      <c r="L9" s="73" t="s">
        <v>131</v>
      </c>
      <c r="M9" s="74"/>
      <c r="N9" s="74"/>
      <c r="O9" s="75"/>
      <c r="Q9" s="52"/>
    </row>
    <row r="10" spans="1:18">
      <c r="A10" s="37" t="s">
        <v>1</v>
      </c>
      <c r="B10" s="8"/>
      <c r="C10" s="93">
        <v>9500000</v>
      </c>
      <c r="D10" s="18" t="s">
        <v>42</v>
      </c>
      <c r="E10" s="91" t="str">
        <f>IF(C10="","",IF(C10&lt;=0,"Error",""))</f>
        <v/>
      </c>
      <c r="F10" s="34"/>
      <c r="G10" s="29" t="s">
        <v>37</v>
      </c>
      <c r="H10" s="8"/>
      <c r="I10" s="102">
        <v>6</v>
      </c>
      <c r="J10" s="18"/>
      <c r="K10" s="34"/>
      <c r="L10" s="86" t="s">
        <v>143</v>
      </c>
      <c r="M10" s="74"/>
      <c r="N10" s="74"/>
      <c r="O10" s="75"/>
      <c r="Q10" s="52"/>
    </row>
    <row r="11" spans="1:18">
      <c r="A11" s="39" t="s">
        <v>103</v>
      </c>
      <c r="B11" s="15"/>
      <c r="C11" s="95">
        <v>5.5E-2</v>
      </c>
      <c r="D11" s="18" t="s">
        <v>38</v>
      </c>
      <c r="E11" s="91" t="str">
        <f>IF(AND(loan_amount&gt;0,C11&lt;=0),"Error","")</f>
        <v/>
      </c>
      <c r="F11" s="34"/>
      <c r="G11" s="30" t="s">
        <v>39</v>
      </c>
      <c r="H11" s="8"/>
      <c r="I11" s="100">
        <v>2.75E-2</v>
      </c>
      <c r="J11" s="18"/>
      <c r="K11" s="34"/>
      <c r="L11" s="73" t="s">
        <v>141</v>
      </c>
      <c r="M11" s="74"/>
      <c r="N11" s="74"/>
      <c r="O11" s="75"/>
      <c r="Q11" s="52"/>
    </row>
    <row r="12" spans="1:18" ht="12.75" customHeight="1">
      <c r="A12" s="40" t="s">
        <v>101</v>
      </c>
      <c r="B12" s="16"/>
      <c r="C12" s="96">
        <v>360</v>
      </c>
      <c r="D12" s="18" t="s">
        <v>102</v>
      </c>
      <c r="E12" s="91" t="str">
        <f>IF(AND(loan_amount&gt;0,C12&lt;=0),"Error","")</f>
        <v/>
      </c>
      <c r="F12" s="34"/>
      <c r="G12" s="26" t="s">
        <v>30</v>
      </c>
      <c r="H12" s="20"/>
      <c r="I12" s="101">
        <v>450</v>
      </c>
      <c r="J12" s="18" t="s">
        <v>42</v>
      </c>
      <c r="K12" s="54"/>
      <c r="L12" s="76" t="s">
        <v>140</v>
      </c>
      <c r="M12" s="77"/>
      <c r="N12" s="77"/>
      <c r="O12" s="78"/>
      <c r="Q12" s="52"/>
    </row>
    <row r="13" spans="1:18" ht="12.75" customHeight="1">
      <c r="A13" s="46"/>
      <c r="B13" s="24"/>
      <c r="C13" s="18"/>
      <c r="D13" s="18"/>
      <c r="E13" s="91"/>
      <c r="F13" s="34"/>
      <c r="G13" s="27" t="s">
        <v>37</v>
      </c>
      <c r="H13" s="21"/>
      <c r="I13" s="102">
        <v>4</v>
      </c>
      <c r="J13" s="18"/>
      <c r="K13" s="34"/>
      <c r="L13" s="24"/>
      <c r="M13" s="24"/>
      <c r="N13" s="24"/>
      <c r="O13" s="49"/>
      <c r="Q13" s="52"/>
    </row>
    <row r="14" spans="1:18">
      <c r="A14" s="55" t="s">
        <v>135</v>
      </c>
      <c r="B14" s="7"/>
      <c r="C14" s="93">
        <v>160000</v>
      </c>
      <c r="D14" s="18" t="s">
        <v>42</v>
      </c>
      <c r="E14" s="91" t="str">
        <f>IF(C14&lt;=0,"Error","")</f>
        <v/>
      </c>
      <c r="F14" s="34"/>
      <c r="G14" s="27" t="s">
        <v>39</v>
      </c>
      <c r="H14" s="21"/>
      <c r="I14" s="100">
        <v>3.2500000000000001E-2</v>
      </c>
      <c r="J14" s="18"/>
      <c r="K14" s="34"/>
      <c r="L14" s="318" t="s">
        <v>132</v>
      </c>
      <c r="M14" s="319"/>
      <c r="N14" s="319"/>
      <c r="O14" s="320"/>
      <c r="Q14" s="52"/>
    </row>
    <row r="15" spans="1:18" ht="12.75" customHeight="1">
      <c r="A15" s="13" t="s">
        <v>24</v>
      </c>
      <c r="B15" s="8"/>
      <c r="C15" s="97" t="s">
        <v>53</v>
      </c>
      <c r="D15" s="18"/>
      <c r="E15" s="91"/>
      <c r="F15" s="34"/>
      <c r="G15" s="28" t="s">
        <v>31</v>
      </c>
      <c r="H15" s="7"/>
      <c r="I15" s="101">
        <v>11500</v>
      </c>
      <c r="J15" s="18" t="s">
        <v>42</v>
      </c>
      <c r="K15" s="54"/>
      <c r="L15" s="321"/>
      <c r="M15" s="322"/>
      <c r="N15" s="322"/>
      <c r="O15" s="323"/>
      <c r="Q15" s="52"/>
    </row>
    <row r="16" spans="1:18">
      <c r="A16" s="5" t="s">
        <v>25</v>
      </c>
      <c r="B16" s="9"/>
      <c r="C16" s="95">
        <v>0.17</v>
      </c>
      <c r="D16" s="18" t="s">
        <v>38</v>
      </c>
      <c r="E16" s="91"/>
      <c r="F16" s="34"/>
      <c r="G16" s="29" t="s">
        <v>37</v>
      </c>
      <c r="H16" s="8"/>
      <c r="I16" s="102">
        <v>7</v>
      </c>
      <c r="J16" s="18"/>
      <c r="K16" s="54"/>
      <c r="L16" s="321"/>
      <c r="M16" s="322"/>
      <c r="N16" s="322"/>
      <c r="O16" s="323"/>
      <c r="Q16" s="52"/>
    </row>
    <row r="17" spans="1:17">
      <c r="A17" s="46"/>
      <c r="B17" s="24"/>
      <c r="C17" s="18"/>
      <c r="D17" s="18"/>
      <c r="E17" s="91"/>
      <c r="F17" s="34"/>
      <c r="G17" s="30" t="s">
        <v>39</v>
      </c>
      <c r="H17" s="8"/>
      <c r="I17" s="100">
        <v>5.67E-2</v>
      </c>
      <c r="J17" s="18"/>
      <c r="K17" s="54"/>
      <c r="L17" s="321"/>
      <c r="M17" s="322"/>
      <c r="N17" s="322"/>
      <c r="O17" s="323"/>
      <c r="Q17" s="52"/>
    </row>
    <row r="18" spans="1:17">
      <c r="A18" s="41" t="s">
        <v>50</v>
      </c>
      <c r="B18" s="10"/>
      <c r="C18" s="95">
        <v>0.05</v>
      </c>
      <c r="D18" s="18" t="s">
        <v>54</v>
      </c>
      <c r="E18" s="91"/>
      <c r="F18" s="34"/>
      <c r="G18" s="26" t="s">
        <v>32</v>
      </c>
      <c r="H18" s="20"/>
      <c r="I18" s="101">
        <v>4500</v>
      </c>
      <c r="J18" s="18" t="s">
        <v>42</v>
      </c>
      <c r="K18" s="54"/>
      <c r="L18" s="324"/>
      <c r="M18" s="325"/>
      <c r="N18" s="325"/>
      <c r="O18" s="326"/>
      <c r="Q18" s="52"/>
    </row>
    <row r="19" spans="1:17" ht="12.75" customHeight="1">
      <c r="A19" s="44"/>
      <c r="B19" s="24"/>
      <c r="C19" s="18"/>
      <c r="D19" s="24"/>
      <c r="E19" s="91"/>
      <c r="F19" s="34"/>
      <c r="G19" s="27" t="s">
        <v>37</v>
      </c>
      <c r="H19" s="21"/>
      <c r="I19" s="102">
        <v>5</v>
      </c>
      <c r="J19" s="18"/>
      <c r="K19" s="54"/>
      <c r="L19" s="88"/>
      <c r="M19" s="89"/>
      <c r="N19" s="89"/>
      <c r="O19" s="90"/>
      <c r="Q19" s="52"/>
    </row>
    <row r="20" spans="1:17">
      <c r="A20" s="82" t="s">
        <v>46</v>
      </c>
      <c r="B20" s="83"/>
      <c r="C20" s="18"/>
      <c r="D20" s="18"/>
      <c r="E20" s="91"/>
      <c r="F20" s="34"/>
      <c r="G20" s="27" t="s">
        <v>39</v>
      </c>
      <c r="H20" s="21"/>
      <c r="I20" s="100">
        <v>0.04</v>
      </c>
      <c r="J20" s="18"/>
      <c r="K20" s="54"/>
      <c r="L20" s="312" t="s">
        <v>4</v>
      </c>
      <c r="M20" s="313"/>
      <c r="N20" s="313"/>
      <c r="O20" s="314"/>
      <c r="Q20" s="52"/>
    </row>
    <row r="21" spans="1:17">
      <c r="A21" s="55" t="s">
        <v>43</v>
      </c>
      <c r="B21" s="7"/>
      <c r="C21" s="95">
        <v>0.6</v>
      </c>
      <c r="D21" s="18" t="s">
        <v>38</v>
      </c>
      <c r="E21" s="91"/>
      <c r="F21" s="34"/>
      <c r="G21" s="28" t="s">
        <v>33</v>
      </c>
      <c r="H21" s="7"/>
      <c r="I21" s="101">
        <v>550</v>
      </c>
      <c r="J21" s="18" t="s">
        <v>42</v>
      </c>
      <c r="K21" s="54"/>
      <c r="L21" s="315"/>
      <c r="M21" s="316"/>
      <c r="N21" s="316"/>
      <c r="O21" s="317"/>
      <c r="Q21" s="52"/>
    </row>
    <row r="22" spans="1:17">
      <c r="A22" s="13" t="s">
        <v>44</v>
      </c>
      <c r="B22" s="8"/>
      <c r="C22" s="11">
        <f>C6-C23</f>
        <v>8280000</v>
      </c>
      <c r="D22" s="18" t="s">
        <v>42</v>
      </c>
      <c r="E22" s="91"/>
      <c r="F22" s="34"/>
      <c r="G22" s="29" t="s">
        <v>37</v>
      </c>
      <c r="H22" s="8"/>
      <c r="I22" s="102">
        <v>1</v>
      </c>
      <c r="J22" s="18"/>
      <c r="K22" s="54"/>
      <c r="L22" s="54"/>
      <c r="M22" s="24"/>
      <c r="N22" s="24"/>
      <c r="O22" s="49"/>
      <c r="Q22" s="52"/>
    </row>
    <row r="23" spans="1:17">
      <c r="A23" s="13" t="s">
        <v>45</v>
      </c>
      <c r="B23" s="8"/>
      <c r="C23" s="12">
        <f>C6*C21</f>
        <v>12420000</v>
      </c>
      <c r="D23" s="18" t="s">
        <v>42</v>
      </c>
      <c r="E23" s="91"/>
      <c r="F23" s="34"/>
      <c r="G23" s="30" t="s">
        <v>39</v>
      </c>
      <c r="H23" s="9"/>
      <c r="I23" s="100">
        <v>2.5000000000000001E-2</v>
      </c>
      <c r="J23" s="18" t="s">
        <v>40</v>
      </c>
      <c r="K23" s="54"/>
      <c r="L23" s="54"/>
      <c r="M23" s="24"/>
      <c r="N23" s="24"/>
      <c r="O23" s="49"/>
      <c r="Q23" s="52"/>
    </row>
    <row r="24" spans="1:17">
      <c r="A24" s="13" t="s">
        <v>49</v>
      </c>
      <c r="B24" s="8"/>
      <c r="C24" s="98">
        <v>39</v>
      </c>
      <c r="D24" s="18" t="s">
        <v>48</v>
      </c>
      <c r="E24" s="91"/>
      <c r="F24" s="34"/>
      <c r="G24" s="24"/>
      <c r="H24" s="21"/>
      <c r="I24" s="18"/>
      <c r="J24" s="18"/>
      <c r="K24" s="54"/>
      <c r="L24" s="54"/>
      <c r="M24" s="24"/>
      <c r="N24" s="24"/>
      <c r="O24" s="49"/>
      <c r="Q24" s="52"/>
    </row>
    <row r="25" spans="1:17">
      <c r="A25" s="5" t="s">
        <v>47</v>
      </c>
      <c r="B25" s="9"/>
      <c r="C25" s="11">
        <f>IF(OR(C23="",C24="",C24=0),0,C23/C24)</f>
        <v>318461.53846153844</v>
      </c>
      <c r="D25" s="18" t="s">
        <v>42</v>
      </c>
      <c r="E25" s="91"/>
      <c r="F25" s="34"/>
      <c r="G25" s="31" t="s">
        <v>26</v>
      </c>
      <c r="H25" s="22"/>
      <c r="I25" s="42"/>
      <c r="J25" s="18"/>
      <c r="K25" s="54"/>
      <c r="L25" s="54"/>
      <c r="M25" s="24"/>
      <c r="N25" s="24"/>
      <c r="O25" s="49"/>
      <c r="Q25" s="52"/>
    </row>
    <row r="26" spans="1:17">
      <c r="A26" s="44"/>
      <c r="B26" s="24"/>
      <c r="C26" s="18"/>
      <c r="D26" s="18"/>
      <c r="E26" s="91"/>
      <c r="F26" s="34"/>
      <c r="G26" s="26" t="s">
        <v>34</v>
      </c>
      <c r="H26" s="20"/>
      <c r="I26" s="100">
        <v>8.9999999999999993E-3</v>
      </c>
      <c r="J26" s="18" t="s">
        <v>27</v>
      </c>
      <c r="K26" s="54"/>
      <c r="L26" s="54"/>
      <c r="M26" s="24"/>
      <c r="N26" s="24"/>
      <c r="O26" s="49"/>
      <c r="Q26" s="52"/>
    </row>
    <row r="27" spans="1:17" ht="12.75" customHeight="1">
      <c r="A27" s="87" t="s">
        <v>84</v>
      </c>
      <c r="B27" s="22"/>
      <c r="C27" s="24"/>
      <c r="D27" s="24"/>
      <c r="E27" s="91"/>
      <c r="F27" s="34"/>
      <c r="G27" s="32" t="s">
        <v>37</v>
      </c>
      <c r="H27" s="23"/>
      <c r="I27" s="102">
        <v>4</v>
      </c>
      <c r="J27" s="18"/>
      <c r="K27" s="54"/>
      <c r="L27" s="54"/>
      <c r="M27" s="24"/>
      <c r="N27" s="24"/>
      <c r="O27" s="49"/>
      <c r="Q27" s="52"/>
    </row>
    <row r="28" spans="1:17" ht="12.75" customHeight="1">
      <c r="A28" s="63" t="s">
        <v>136</v>
      </c>
      <c r="B28" s="10"/>
      <c r="C28" s="95">
        <v>0.08</v>
      </c>
      <c r="D28" s="18" t="s">
        <v>38</v>
      </c>
      <c r="E28" s="91" t="str">
        <f>IF(C28&lt;=0,"Error","")</f>
        <v/>
      </c>
      <c r="F28" s="34"/>
      <c r="G28" s="33" t="s">
        <v>35</v>
      </c>
      <c r="H28" s="7"/>
      <c r="I28" s="100">
        <v>1.0999999999999999E-2</v>
      </c>
      <c r="J28" s="18" t="s">
        <v>27</v>
      </c>
      <c r="K28" s="54"/>
      <c r="L28" s="54"/>
      <c r="M28" s="24"/>
      <c r="N28" s="24"/>
      <c r="O28" s="49"/>
      <c r="Q28" s="52"/>
    </row>
    <row r="29" spans="1:17">
      <c r="A29" s="63" t="s">
        <v>137</v>
      </c>
      <c r="B29" s="14"/>
      <c r="C29" s="95">
        <v>0.05</v>
      </c>
      <c r="D29" s="18" t="s">
        <v>38</v>
      </c>
      <c r="E29" s="91"/>
      <c r="F29" s="34"/>
      <c r="G29" s="30" t="s">
        <v>37</v>
      </c>
      <c r="H29" s="9"/>
      <c r="I29" s="102">
        <v>1</v>
      </c>
      <c r="J29" s="18"/>
      <c r="K29" s="54"/>
      <c r="L29" s="54"/>
      <c r="M29" s="24"/>
      <c r="N29" s="24"/>
      <c r="O29" s="49"/>
      <c r="Q29" s="52"/>
    </row>
    <row r="30" spans="1:17">
      <c r="A30" s="63" t="s">
        <v>83</v>
      </c>
      <c r="B30" s="14"/>
      <c r="C30" s="95">
        <v>0.04</v>
      </c>
      <c r="D30" s="18" t="s">
        <v>38</v>
      </c>
      <c r="E30" s="91"/>
      <c r="F30" s="34"/>
      <c r="G30" s="26" t="s">
        <v>36</v>
      </c>
      <c r="H30" s="20"/>
      <c r="I30" s="100">
        <v>1.2800000000000001E-2</v>
      </c>
      <c r="J30" s="18" t="s">
        <v>27</v>
      </c>
      <c r="K30" s="54"/>
      <c r="L30" s="54"/>
      <c r="M30" s="24"/>
      <c r="N30" s="24"/>
      <c r="O30" s="49"/>
      <c r="Q30" s="52"/>
    </row>
    <row r="31" spans="1:17">
      <c r="A31" s="41" t="s">
        <v>0</v>
      </c>
      <c r="B31" s="10"/>
      <c r="C31" s="99">
        <v>2</v>
      </c>
      <c r="D31" s="18"/>
      <c r="E31" s="91" t="str">
        <f>IF(OR(C31="",AND(option_termvalue=2,cap_rate&lt;=0),AND(option_termvalue=1,appreciation_rate="")),"Error","")</f>
        <v/>
      </c>
      <c r="F31" s="34"/>
      <c r="G31" s="32" t="s">
        <v>37</v>
      </c>
      <c r="H31" s="23"/>
      <c r="I31" s="102">
        <v>2</v>
      </c>
      <c r="J31" s="18"/>
      <c r="K31" s="54"/>
      <c r="L31" s="54"/>
      <c r="M31" s="24"/>
      <c r="N31" s="24"/>
      <c r="O31" s="49"/>
      <c r="Q31" s="52"/>
    </row>
    <row r="32" spans="1:17">
      <c r="A32" s="44"/>
      <c r="B32" s="24"/>
      <c r="C32" s="18"/>
      <c r="D32" s="18"/>
      <c r="E32" s="91"/>
      <c r="F32" s="34"/>
      <c r="G32" s="61"/>
      <c r="H32" s="17"/>
      <c r="I32" s="24"/>
      <c r="J32" s="21"/>
      <c r="K32" s="54"/>
      <c r="L32" s="54"/>
      <c r="M32" s="24"/>
      <c r="N32" s="24"/>
      <c r="O32" s="49"/>
      <c r="Q32" s="52"/>
    </row>
    <row r="33" spans="1:15">
      <c r="A33" s="36" t="s">
        <v>51</v>
      </c>
      <c r="B33" s="7"/>
      <c r="C33" s="95">
        <v>0.3</v>
      </c>
      <c r="D33" s="18" t="s">
        <v>38</v>
      </c>
      <c r="E33" s="91"/>
      <c r="F33" s="34"/>
      <c r="G33" s="60"/>
      <c r="H33" s="17"/>
      <c r="I33" s="24"/>
      <c r="J33" s="24"/>
      <c r="K33" s="34"/>
      <c r="L33" s="54"/>
      <c r="M33" s="24"/>
      <c r="N33" s="24"/>
      <c r="O33" s="49"/>
    </row>
    <row r="34" spans="1:15">
      <c r="A34" s="38" t="s">
        <v>52</v>
      </c>
      <c r="B34" s="9"/>
      <c r="C34" s="95">
        <v>0.2</v>
      </c>
      <c r="D34" s="18" t="s">
        <v>38</v>
      </c>
      <c r="E34" s="91"/>
      <c r="F34" s="34"/>
      <c r="G34" s="60"/>
      <c r="H34" s="17"/>
      <c r="I34" s="24"/>
      <c r="J34" s="24"/>
      <c r="K34" s="34"/>
      <c r="L34" s="54"/>
      <c r="M34" s="24"/>
      <c r="N34" s="24"/>
      <c r="O34" s="49"/>
    </row>
    <row r="35" spans="1:15">
      <c r="A35" s="44"/>
      <c r="B35" s="24"/>
      <c r="C35" s="18"/>
      <c r="D35" s="18"/>
      <c r="E35" s="91"/>
      <c r="F35" s="34"/>
      <c r="G35" s="60"/>
      <c r="H35" s="17"/>
      <c r="I35" s="24"/>
      <c r="J35" s="24"/>
      <c r="K35" s="34"/>
      <c r="L35" s="54"/>
      <c r="M35" s="24"/>
      <c r="N35" s="24"/>
      <c r="O35" s="49"/>
    </row>
    <row r="36" spans="1:15">
      <c r="A36" s="85" t="s">
        <v>65</v>
      </c>
      <c r="B36" s="19"/>
      <c r="C36" s="18"/>
      <c r="D36" s="18"/>
      <c r="E36" s="91"/>
      <c r="F36" s="34"/>
      <c r="G36" s="60"/>
      <c r="H36" s="17"/>
      <c r="I36" s="24"/>
      <c r="J36" s="24"/>
      <c r="K36" s="34"/>
      <c r="L36" s="54"/>
      <c r="M36" s="24"/>
      <c r="N36" s="24"/>
      <c r="O36" s="49"/>
    </row>
    <row r="37" spans="1:15">
      <c r="A37" s="55" t="s">
        <v>138</v>
      </c>
      <c r="B37" s="7"/>
      <c r="C37" s="100">
        <v>1.2500000000000001E-2</v>
      </c>
      <c r="D37" s="18" t="s">
        <v>38</v>
      </c>
      <c r="E37" s="91" t="str">
        <f>IF(C37="","Error","")</f>
        <v/>
      </c>
      <c r="F37" s="34"/>
      <c r="G37" s="60"/>
      <c r="H37" s="17"/>
      <c r="I37" s="24"/>
      <c r="J37" s="24"/>
      <c r="K37" s="34"/>
      <c r="L37" s="54"/>
      <c r="M37" s="24"/>
      <c r="N37" s="24"/>
      <c r="O37" s="49"/>
    </row>
    <row r="38" spans="1:15">
      <c r="A38" s="5" t="s">
        <v>139</v>
      </c>
      <c r="B38" s="9"/>
      <c r="C38" s="100">
        <v>1.4999999999999999E-2</v>
      </c>
      <c r="D38" s="27" t="s">
        <v>38</v>
      </c>
      <c r="E38" s="91" t="str">
        <f>IF(C38="","Error","")</f>
        <v/>
      </c>
      <c r="F38" s="34"/>
      <c r="G38" s="60"/>
      <c r="H38" s="17"/>
      <c r="I38" s="24"/>
      <c r="J38" s="24"/>
      <c r="K38" s="34"/>
      <c r="L38" s="54"/>
      <c r="M38" s="24"/>
      <c r="N38" s="24"/>
      <c r="O38" s="49"/>
    </row>
    <row r="39" spans="1:15">
      <c r="A39" s="44"/>
      <c r="B39" s="24"/>
      <c r="C39" s="24"/>
      <c r="D39" s="24"/>
      <c r="E39" s="92" t="str">
        <f>IF(COUNTIF(E3:E38,"Error")&gt;=1,"Input Error","Input Ok")</f>
        <v>Input Ok</v>
      </c>
      <c r="F39" s="34"/>
      <c r="G39" s="60"/>
      <c r="H39" s="17"/>
      <c r="I39" s="24"/>
      <c r="J39" s="24"/>
      <c r="K39" s="34"/>
      <c r="L39" s="54"/>
      <c r="M39" s="24"/>
      <c r="N39" s="24"/>
      <c r="O39" s="49"/>
    </row>
    <row r="40" spans="1:15" ht="13.5" thickBot="1">
      <c r="A40" s="66"/>
      <c r="B40" s="48"/>
      <c r="C40" s="48"/>
      <c r="D40" s="48"/>
      <c r="E40" s="48"/>
      <c r="F40" s="43"/>
      <c r="G40" s="59"/>
      <c r="H40" s="47"/>
      <c r="I40" s="48"/>
      <c r="J40" s="48"/>
      <c r="K40" s="43"/>
      <c r="L40" s="64"/>
      <c r="M40" s="48"/>
      <c r="N40" s="48"/>
      <c r="O40" s="65"/>
    </row>
    <row r="41" spans="1:15">
      <c r="G41" s="2"/>
      <c r="H41" s="3"/>
    </row>
    <row r="42" spans="1:15">
      <c r="G42" s="2"/>
      <c r="H42" s="3"/>
    </row>
    <row r="43" spans="1:15">
      <c r="G43" s="2"/>
      <c r="H43" s="3"/>
    </row>
    <row r="44" spans="1:15">
      <c r="G44" s="2"/>
      <c r="H44" s="3"/>
    </row>
    <row r="45" spans="1:15">
      <c r="G45" s="2"/>
      <c r="H45" s="3"/>
    </row>
    <row r="46" spans="1:15">
      <c r="C46" s="1"/>
      <c r="G46" s="2"/>
      <c r="H46" s="3"/>
    </row>
    <row r="47" spans="1:15">
      <c r="G47" s="2"/>
      <c r="H47" s="3"/>
    </row>
    <row r="48" spans="1:15">
      <c r="G48" s="2"/>
      <c r="H48" s="3"/>
    </row>
    <row r="49" spans="7:8">
      <c r="G49" s="2"/>
      <c r="H49" s="3"/>
    </row>
    <row r="50" spans="7:8">
      <c r="G50" s="2"/>
      <c r="H50" s="3"/>
    </row>
    <row r="51" spans="7:8">
      <c r="G51" s="2"/>
      <c r="H51" s="3"/>
    </row>
    <row r="52" spans="7:8">
      <c r="G52" s="2"/>
      <c r="H52" s="3"/>
    </row>
    <row r="53" spans="7:8">
      <c r="G53" s="2"/>
      <c r="H53" s="3"/>
    </row>
    <row r="54" spans="7:8">
      <c r="G54" s="2"/>
      <c r="H54" s="3"/>
    </row>
    <row r="55" spans="7:8">
      <c r="G55" s="2"/>
      <c r="H55" s="3"/>
    </row>
    <row r="56" spans="7:8">
      <c r="G56" s="2"/>
      <c r="H56" s="3"/>
    </row>
    <row r="57" spans="7:8">
      <c r="G57" s="2"/>
      <c r="H57" s="3"/>
    </row>
    <row r="58" spans="7:8">
      <c r="G58" s="2"/>
      <c r="H58" s="3"/>
    </row>
    <row r="59" spans="7:8">
      <c r="G59" s="2"/>
      <c r="H59" s="3"/>
    </row>
    <row r="60" spans="7:8">
      <c r="G60" s="2"/>
      <c r="H60" s="3"/>
    </row>
    <row r="61" spans="7:8">
      <c r="G61" s="2"/>
      <c r="H61" s="3"/>
    </row>
    <row r="62" spans="7:8">
      <c r="G62" s="2"/>
      <c r="H62" s="3"/>
    </row>
    <row r="63" spans="7:8">
      <c r="G63" s="2"/>
      <c r="H63" s="3"/>
    </row>
    <row r="64" spans="7:8">
      <c r="G64" s="2"/>
      <c r="H64" s="3"/>
    </row>
    <row r="65" spans="7:8">
      <c r="G65" s="2"/>
      <c r="H65" s="3"/>
    </row>
    <row r="66" spans="7:8">
      <c r="G66" s="2"/>
      <c r="H66" s="3"/>
    </row>
    <row r="67" spans="7:8">
      <c r="G67" s="2"/>
      <c r="H67" s="3"/>
    </row>
    <row r="68" spans="7:8">
      <c r="G68" s="2"/>
      <c r="H68" s="3"/>
    </row>
    <row r="69" spans="7:8">
      <c r="G69" s="2"/>
      <c r="H69" s="3"/>
    </row>
    <row r="70" spans="7:8">
      <c r="G70" s="2"/>
      <c r="H70" s="3"/>
    </row>
    <row r="71" spans="7:8">
      <c r="G71" s="2"/>
      <c r="H71" s="3"/>
    </row>
    <row r="72" spans="7:8">
      <c r="G72" s="2"/>
      <c r="H72" s="3"/>
    </row>
    <row r="73" spans="7:8">
      <c r="G73" s="2"/>
      <c r="H73" s="3"/>
    </row>
    <row r="74" spans="7:8">
      <c r="G74" s="2"/>
      <c r="H74" s="3"/>
    </row>
    <row r="75" spans="7:8">
      <c r="G75" s="2"/>
      <c r="H75" s="3"/>
    </row>
    <row r="76" spans="7:8">
      <c r="G76" s="2"/>
      <c r="H76" s="3"/>
    </row>
    <row r="77" spans="7:8">
      <c r="G77" s="2"/>
      <c r="H77" s="3"/>
    </row>
    <row r="78" spans="7:8">
      <c r="G78" s="2"/>
      <c r="H78" s="3"/>
    </row>
    <row r="79" spans="7:8">
      <c r="G79" s="2"/>
      <c r="H79" s="3"/>
    </row>
    <row r="80" spans="7:8">
      <c r="G80" s="2"/>
      <c r="H80" s="3"/>
    </row>
    <row r="81" spans="7:8">
      <c r="G81" s="2"/>
      <c r="H81" s="3"/>
    </row>
    <row r="82" spans="7:8">
      <c r="G82" s="2"/>
      <c r="H82" s="3"/>
    </row>
    <row r="83" spans="7:8">
      <c r="G83" s="2"/>
      <c r="H83" s="3"/>
    </row>
    <row r="84" spans="7:8">
      <c r="G84" s="2"/>
      <c r="H84" s="3"/>
    </row>
    <row r="85" spans="7:8">
      <c r="G85" s="2"/>
      <c r="H85" s="3"/>
    </row>
    <row r="86" spans="7:8">
      <c r="G86" s="2"/>
      <c r="H86" s="3"/>
    </row>
    <row r="87" spans="7:8">
      <c r="G87" s="2"/>
      <c r="H87" s="3"/>
    </row>
    <row r="88" spans="7:8">
      <c r="G88" s="2"/>
      <c r="H88" s="3"/>
    </row>
    <row r="89" spans="7:8">
      <c r="G89" s="2"/>
      <c r="H89" s="3"/>
    </row>
    <row r="90" spans="7:8">
      <c r="G90" s="2"/>
      <c r="H90" s="3"/>
    </row>
    <row r="91" spans="7:8">
      <c r="G91" s="2"/>
      <c r="H91" s="3"/>
    </row>
    <row r="92" spans="7:8">
      <c r="G92" s="2"/>
      <c r="H92" s="3"/>
    </row>
    <row r="93" spans="7:8">
      <c r="G93" s="2"/>
      <c r="H93" s="3"/>
    </row>
    <row r="94" spans="7:8">
      <c r="G94" s="2"/>
      <c r="H94" s="3"/>
    </row>
    <row r="95" spans="7:8">
      <c r="G95" s="2"/>
      <c r="H95" s="3"/>
    </row>
    <row r="96" spans="7:8">
      <c r="G96" s="2"/>
      <c r="H96" s="3"/>
    </row>
    <row r="97" spans="7:8">
      <c r="G97" s="2"/>
      <c r="H97" s="3"/>
    </row>
    <row r="98" spans="7:8">
      <c r="G98" s="2"/>
      <c r="H98" s="3"/>
    </row>
    <row r="99" spans="7:8">
      <c r="G99" s="2"/>
      <c r="H99" s="3"/>
    </row>
    <row r="100" spans="7:8">
      <c r="G100" s="2"/>
      <c r="H100" s="3"/>
    </row>
    <row r="101" spans="7:8">
      <c r="G101" s="2"/>
      <c r="H101" s="3"/>
    </row>
    <row r="102" spans="7:8">
      <c r="G102" s="2"/>
      <c r="H102" s="3"/>
    </row>
    <row r="103" spans="7:8">
      <c r="G103" s="2"/>
      <c r="H103" s="3"/>
    </row>
    <row r="104" spans="7:8">
      <c r="G104" s="2"/>
      <c r="H104" s="3"/>
    </row>
    <row r="105" spans="7:8">
      <c r="G105" s="2"/>
      <c r="H105" s="3"/>
    </row>
    <row r="106" spans="7:8">
      <c r="G106" s="2"/>
      <c r="H106" s="3"/>
    </row>
    <row r="107" spans="7:8">
      <c r="G107" s="2"/>
      <c r="H107" s="3"/>
    </row>
    <row r="108" spans="7:8">
      <c r="G108" s="2"/>
      <c r="H108" s="3"/>
    </row>
    <row r="109" spans="7:8">
      <c r="G109" s="2"/>
      <c r="H109" s="3"/>
    </row>
    <row r="110" spans="7:8">
      <c r="G110" s="2"/>
      <c r="H110" s="3"/>
    </row>
    <row r="111" spans="7:8">
      <c r="G111" s="2"/>
      <c r="H111" s="3"/>
    </row>
    <row r="112" spans="7:8">
      <c r="G112" s="2"/>
      <c r="H112" s="3"/>
    </row>
    <row r="113" spans="7:8">
      <c r="G113" s="2"/>
      <c r="H113" s="3"/>
    </row>
    <row r="114" spans="7:8">
      <c r="G114" s="2"/>
      <c r="H114" s="3"/>
    </row>
    <row r="115" spans="7:8">
      <c r="G115" s="2"/>
      <c r="H115" s="3"/>
    </row>
    <row r="116" spans="7:8">
      <c r="G116" s="2"/>
      <c r="H116" s="3"/>
    </row>
    <row r="117" spans="7:8">
      <c r="G117" s="2"/>
      <c r="H117" s="3"/>
    </row>
    <row r="118" spans="7:8">
      <c r="G118" s="2"/>
      <c r="H118" s="3"/>
    </row>
    <row r="119" spans="7:8">
      <c r="G119" s="2"/>
      <c r="H119" s="3"/>
    </row>
    <row r="120" spans="7:8">
      <c r="G120" s="2"/>
      <c r="H120" s="3"/>
    </row>
    <row r="121" spans="7:8">
      <c r="G121" s="2"/>
      <c r="H121" s="3"/>
    </row>
    <row r="122" spans="7:8">
      <c r="G122" s="2"/>
      <c r="H122" s="3"/>
    </row>
    <row r="123" spans="7:8">
      <c r="G123" s="2"/>
      <c r="H123" s="3"/>
    </row>
    <row r="124" spans="7:8">
      <c r="G124" s="2"/>
      <c r="H124" s="3"/>
    </row>
    <row r="125" spans="7:8">
      <c r="G125" s="2"/>
      <c r="H125" s="3"/>
    </row>
    <row r="126" spans="7:8">
      <c r="G126" s="2"/>
      <c r="H126" s="3"/>
    </row>
    <row r="127" spans="7:8">
      <c r="G127" s="2"/>
      <c r="H127" s="3"/>
    </row>
    <row r="128" spans="7:8">
      <c r="G128" s="4"/>
    </row>
    <row r="129" spans="7:7">
      <c r="G129" s="4"/>
    </row>
    <row r="130" spans="7:7">
      <c r="G130" s="4"/>
    </row>
    <row r="131" spans="7:7">
      <c r="G131" s="4"/>
    </row>
    <row r="132" spans="7:7">
      <c r="G132" s="4"/>
    </row>
    <row r="133" spans="7:7">
      <c r="G133" s="4"/>
    </row>
    <row r="134" spans="7:7">
      <c r="G134" s="4"/>
    </row>
    <row r="135" spans="7:7">
      <c r="G135" s="4"/>
    </row>
    <row r="136" spans="7:7">
      <c r="G136" s="4"/>
    </row>
    <row r="137" spans="7:7">
      <c r="G137" s="4"/>
    </row>
    <row r="138" spans="7:7">
      <c r="G138" s="4"/>
    </row>
    <row r="139" spans="7:7">
      <c r="G139" s="4"/>
    </row>
    <row r="140" spans="7:7">
      <c r="G140" s="4"/>
    </row>
    <row r="141" spans="7:7">
      <c r="G141" s="4"/>
    </row>
    <row r="142" spans="7:7">
      <c r="G142" s="4"/>
    </row>
    <row r="143" spans="7:7">
      <c r="G143" s="4"/>
    </row>
    <row r="144" spans="7:7">
      <c r="G144" s="4"/>
    </row>
    <row r="145" spans="7:7">
      <c r="G145" s="4"/>
    </row>
    <row r="146" spans="7:7">
      <c r="G146" s="4"/>
    </row>
    <row r="147" spans="7:7">
      <c r="G147" s="4"/>
    </row>
    <row r="148" spans="7:7">
      <c r="G148" s="4"/>
    </row>
    <row r="149" spans="7:7">
      <c r="G149" s="4"/>
    </row>
    <row r="150" spans="7:7">
      <c r="G150" s="4"/>
    </row>
    <row r="151" spans="7:7">
      <c r="G151" s="4"/>
    </row>
    <row r="152" spans="7:7">
      <c r="G152" s="4"/>
    </row>
    <row r="153" spans="7:7">
      <c r="G153" s="4"/>
    </row>
    <row r="154" spans="7:7">
      <c r="G154" s="4"/>
    </row>
    <row r="155" spans="7:7">
      <c r="G155" s="4"/>
    </row>
    <row r="156" spans="7:7">
      <c r="G156" s="4"/>
    </row>
    <row r="157" spans="7:7">
      <c r="G157" s="4"/>
    </row>
    <row r="158" spans="7:7">
      <c r="G158" s="4"/>
    </row>
    <row r="159" spans="7:7">
      <c r="G159" s="4"/>
    </row>
    <row r="160" spans="7:7">
      <c r="G160" s="4"/>
    </row>
    <row r="161" spans="7:7">
      <c r="G161" s="4"/>
    </row>
    <row r="162" spans="7:7">
      <c r="G162" s="4"/>
    </row>
    <row r="163" spans="7:7">
      <c r="G163" s="4"/>
    </row>
    <row r="164" spans="7:7">
      <c r="G164" s="4"/>
    </row>
    <row r="165" spans="7:7">
      <c r="G165" s="4"/>
    </row>
    <row r="166" spans="7:7">
      <c r="G166" s="4"/>
    </row>
    <row r="167" spans="7:7">
      <c r="G167" s="4"/>
    </row>
    <row r="168" spans="7:7">
      <c r="G168" s="4"/>
    </row>
    <row r="169" spans="7:7">
      <c r="G169" s="4"/>
    </row>
    <row r="170" spans="7:7">
      <c r="G170" s="4"/>
    </row>
    <row r="171" spans="7:7">
      <c r="G171" s="4"/>
    </row>
    <row r="172" spans="7:7">
      <c r="G172" s="4"/>
    </row>
    <row r="173" spans="7:7">
      <c r="G173" s="4"/>
    </row>
    <row r="174" spans="7:7">
      <c r="G174" s="4"/>
    </row>
    <row r="175" spans="7:7">
      <c r="G175" s="4"/>
    </row>
    <row r="176" spans="7:7">
      <c r="G176" s="4"/>
    </row>
    <row r="177" spans="7:7">
      <c r="G177" s="4"/>
    </row>
  </sheetData>
  <dataConsolidate/>
  <mergeCells count="5">
    <mergeCell ref="L20:O21"/>
    <mergeCell ref="L14:O18"/>
    <mergeCell ref="L3:O3"/>
    <mergeCell ref="G1:I1"/>
    <mergeCell ref="L2:O2"/>
  </mergeCells>
  <dataValidations count="5">
    <dataValidation type="list" allowBlank="1" showInputMessage="1" showErrorMessage="1" sqref="C31">
      <formula1>"1,2"</formula1>
    </dataValidation>
    <dataValidation type="list" allowBlank="1" showInputMessage="1" showErrorMessage="1" sqref="C24">
      <formula1>"15,15.5,16,16.5,17,17.5,18,18.5,19,19.5,20,20.5,21,21.5,22,22.5,23,23.5,24,24.5,25,25.5,26,26.5,27,27.5,28,28.5,29,29.5,30,30.5,31,31.5,32,32.5,33,33.5,34,34.5,35,35.5,36,36.5,37,37.5,38,38.5,39,39.5,40,40.5,41,41.5,42,42.5,43,43.5,44,44.5,45"</formula1>
    </dataValidation>
    <dataValidation type="list" allowBlank="1" showInputMessage="1" showErrorMessage="1" sqref="I7 I13 I16 I22 I31 I29 I27 I10 I19">
      <formula1>month_no</formula1>
    </dataValidation>
    <dataValidation type="list" allowBlank="1" showInputMessage="1" showErrorMessage="1" sqref="C15">
      <formula1>"6-Mthly, Annually, 2-Yrs, 3-Yrs, 4-Yrs, 5-Yrs"</formula1>
    </dataValidation>
    <dataValidation type="date" operator="greaterThanOrEqual" allowBlank="1" showInputMessage="1" showErrorMessage="1" errorTitle="Date Error!" error="Enter a valid date later than 01 Jan, 2000." sqref="C7">
      <formula1>36526</formula1>
    </dataValidation>
  </dataValidations>
  <hyperlinks>
    <hyperlink ref="L2" r:id="rId1"/>
  </hyperlinks>
  <pageMargins left="0.7" right="0.7" top="0.75" bottom="0.75" header="0.3" footer="0.3"/>
  <pageSetup orientation="portrait" verticalDpi="0" r:id="rId2"/>
  <drawing r:id="rId3"/>
  <legacyDrawing r:id="rId4"/>
</worksheet>
</file>

<file path=xl/worksheets/sheet2.xml><?xml version="1.0" encoding="utf-8"?>
<worksheet xmlns="http://schemas.openxmlformats.org/spreadsheetml/2006/main" xmlns:r="http://schemas.openxmlformats.org/officeDocument/2006/relationships">
  <sheetPr codeName="Sheet2">
    <tabColor rgb="FF92D050"/>
  </sheetPr>
  <dimension ref="A1:BA262"/>
  <sheetViews>
    <sheetView zoomScaleNormal="100" workbookViewId="0">
      <pane xSplit="2" ySplit="2" topLeftCell="E3" activePane="bottomRight" state="frozen"/>
      <selection activeCell="C5" sqref="C5"/>
      <selection pane="topRight" activeCell="C5" sqref="C5"/>
      <selection pane="bottomLeft" activeCell="C5" sqref="C5"/>
      <selection pane="bottomRight" activeCell="AL6" sqref="AL6"/>
    </sheetView>
  </sheetViews>
  <sheetFormatPr defaultRowHeight="12" outlineLevelCol="1"/>
  <cols>
    <col min="1" max="1" width="10.5703125" style="109" customWidth="1"/>
    <col min="2" max="2" width="7.7109375" style="109" customWidth="1"/>
    <col min="3" max="3" width="10" style="109" hidden="1" customWidth="1" outlineLevel="1"/>
    <col min="4" max="4" width="9.140625" style="109" hidden="1" customWidth="1" outlineLevel="1"/>
    <col min="5" max="5" width="10.28515625" style="109" customWidth="1" collapsed="1"/>
    <col min="6" max="6" width="3.28515625" style="109" customWidth="1"/>
    <col min="7" max="7" width="9.7109375" style="109" hidden="1" customWidth="1" outlineLevel="1"/>
    <col min="8" max="8" width="9.85546875" style="109" hidden="1" customWidth="1" outlineLevel="1"/>
    <col min="9" max="12" width="10" style="109" hidden="1" customWidth="1" outlineLevel="1"/>
    <col min="13" max="13" width="9.140625" style="109" hidden="1" customWidth="1" outlineLevel="1"/>
    <col min="14" max="14" width="9.28515625" style="109" hidden="1" customWidth="1" outlineLevel="1"/>
    <col min="15" max="15" width="9.140625" style="109" hidden="1" customWidth="1" outlineLevel="1"/>
    <col min="16" max="16" width="9.85546875" style="109" customWidth="1" collapsed="1"/>
    <col min="17" max="17" width="11.5703125" style="109" customWidth="1"/>
    <col min="18" max="18" width="3.140625" style="109" customWidth="1"/>
    <col min="19" max="19" width="10.42578125" style="109" customWidth="1"/>
    <col min="20" max="20" width="10.140625" style="109" customWidth="1"/>
    <col min="21" max="22" width="11.7109375" style="109" customWidth="1"/>
    <col min="23" max="23" width="3.140625" style="109" customWidth="1"/>
    <col min="24" max="24" width="12" style="109" hidden="1" customWidth="1" outlineLevel="1"/>
    <col min="25" max="26" width="12.28515625" style="109" hidden="1" customWidth="1" outlineLevel="1"/>
    <col min="27" max="27" width="12.28515625" style="109" customWidth="1" collapsed="1"/>
    <col min="28" max="28" width="3.42578125" style="109" customWidth="1"/>
    <col min="29" max="29" width="11" style="109" hidden="1" customWidth="1" outlineLevel="1"/>
    <col min="30" max="30" width="10.140625" style="109" hidden="1" customWidth="1" outlineLevel="1"/>
    <col min="31" max="31" width="11.42578125" style="109" customWidth="1" collapsed="1"/>
    <col min="32" max="32" width="10.85546875" style="109" hidden="1" customWidth="1" outlineLevel="1"/>
    <col min="33" max="33" width="10.5703125" style="109" hidden="1" customWidth="1" outlineLevel="1"/>
    <col min="34" max="34" width="12.42578125" style="109" customWidth="1" collapsed="1"/>
    <col min="35" max="35" width="3.85546875" style="109" customWidth="1"/>
    <col min="36" max="37" width="11.5703125" style="109" hidden="1" customWidth="1" outlineLevel="1"/>
    <col min="38" max="38" width="9.140625" style="109" collapsed="1"/>
    <col min="39" max="40" width="9.42578125" style="109" customWidth="1"/>
    <col min="41" max="41" width="9.85546875" style="109" customWidth="1"/>
    <col min="42" max="42" width="3.7109375" style="109" customWidth="1"/>
    <col min="43" max="43" width="12.42578125" style="109" customWidth="1"/>
    <col min="44" max="44" width="12" style="109" customWidth="1"/>
    <col min="45" max="45" width="10" style="109" customWidth="1"/>
    <col min="46" max="46" width="11" style="109" customWidth="1"/>
    <col min="47" max="48" width="9.7109375" style="109" customWidth="1"/>
    <col min="49" max="49" width="3" style="109" customWidth="1"/>
    <col min="50" max="50" width="12.7109375" style="109" customWidth="1"/>
    <col min="51" max="51" width="10" style="109" customWidth="1"/>
    <col min="52" max="52" width="12.85546875" style="109" customWidth="1"/>
    <col min="53" max="53" width="11.28515625" style="109" customWidth="1"/>
    <col min="54" max="16384" width="9.140625" style="109"/>
  </cols>
  <sheetData>
    <row r="1" spans="1:53" ht="12.75" customHeight="1">
      <c r="A1" s="334" t="s">
        <v>94</v>
      </c>
      <c r="B1" s="335"/>
      <c r="C1" s="337" t="s">
        <v>92</v>
      </c>
      <c r="D1" s="337"/>
      <c r="E1" s="338"/>
      <c r="F1" s="103"/>
      <c r="G1" s="334" t="s">
        <v>93</v>
      </c>
      <c r="H1" s="342"/>
      <c r="I1" s="342"/>
      <c r="J1" s="342"/>
      <c r="K1" s="342"/>
      <c r="L1" s="342"/>
      <c r="M1" s="342"/>
      <c r="N1" s="342"/>
      <c r="O1" s="342"/>
      <c r="P1" s="335"/>
      <c r="Q1" s="104" t="s">
        <v>80</v>
      </c>
      <c r="R1" s="103"/>
      <c r="S1" s="336" t="s">
        <v>81</v>
      </c>
      <c r="T1" s="337"/>
      <c r="U1" s="338"/>
      <c r="V1" s="104" t="s">
        <v>98</v>
      </c>
      <c r="W1" s="103"/>
      <c r="X1" s="334" t="s">
        <v>96</v>
      </c>
      <c r="Y1" s="342"/>
      <c r="Z1" s="342"/>
      <c r="AA1" s="342"/>
      <c r="AB1" s="105"/>
      <c r="AC1" s="342" t="s">
        <v>95</v>
      </c>
      <c r="AD1" s="342"/>
      <c r="AE1" s="335"/>
      <c r="AF1" s="334" t="s">
        <v>113</v>
      </c>
      <c r="AG1" s="335"/>
      <c r="AH1" s="106" t="s">
        <v>97</v>
      </c>
      <c r="AI1" s="107"/>
      <c r="AJ1" s="339" t="s">
        <v>91</v>
      </c>
      <c r="AK1" s="340"/>
      <c r="AL1" s="340"/>
      <c r="AM1" s="340"/>
      <c r="AN1" s="340"/>
      <c r="AO1" s="341"/>
      <c r="AP1" s="107"/>
      <c r="AQ1" s="339" t="s">
        <v>125</v>
      </c>
      <c r="AR1" s="340"/>
      <c r="AS1" s="340"/>
      <c r="AT1" s="340"/>
      <c r="AU1" s="340"/>
      <c r="AV1" s="341"/>
      <c r="AW1" s="108"/>
      <c r="AX1" s="339" t="s">
        <v>126</v>
      </c>
      <c r="AY1" s="340"/>
      <c r="AZ1" s="340"/>
      <c r="BA1" s="341"/>
    </row>
    <row r="2" spans="1:53" ht="36">
      <c r="A2" s="110" t="s">
        <v>2</v>
      </c>
      <c r="B2" s="111" t="s">
        <v>3</v>
      </c>
      <c r="C2" s="110" t="s">
        <v>120</v>
      </c>
      <c r="D2" s="111" t="s">
        <v>16</v>
      </c>
      <c r="E2" s="112" t="s">
        <v>5</v>
      </c>
      <c r="F2" s="113"/>
      <c r="G2" s="114" t="s">
        <v>6</v>
      </c>
      <c r="H2" s="110" t="s">
        <v>7</v>
      </c>
      <c r="I2" s="111" t="s">
        <v>17</v>
      </c>
      <c r="J2" s="110" t="s">
        <v>8</v>
      </c>
      <c r="K2" s="111" t="s">
        <v>9</v>
      </c>
      <c r="L2" s="110" t="s">
        <v>10</v>
      </c>
      <c r="M2" s="111" t="s">
        <v>18</v>
      </c>
      <c r="N2" s="110" t="s">
        <v>110</v>
      </c>
      <c r="O2" s="111" t="s">
        <v>11</v>
      </c>
      <c r="P2" s="110" t="s">
        <v>12</v>
      </c>
      <c r="Q2" s="115" t="s">
        <v>119</v>
      </c>
      <c r="R2" s="113"/>
      <c r="S2" s="116" t="s">
        <v>111</v>
      </c>
      <c r="T2" s="111" t="s">
        <v>112</v>
      </c>
      <c r="U2" s="117" t="s">
        <v>100</v>
      </c>
      <c r="V2" s="111" t="s">
        <v>67</v>
      </c>
      <c r="W2" s="113"/>
      <c r="X2" s="110" t="s">
        <v>14</v>
      </c>
      <c r="Y2" s="111" t="s">
        <v>60</v>
      </c>
      <c r="Z2" s="110" t="s">
        <v>59</v>
      </c>
      <c r="AA2" s="115" t="s">
        <v>63</v>
      </c>
      <c r="AB2" s="113"/>
      <c r="AC2" s="116" t="s">
        <v>13</v>
      </c>
      <c r="AD2" s="111" t="s">
        <v>57</v>
      </c>
      <c r="AE2" s="110" t="s">
        <v>58</v>
      </c>
      <c r="AF2" s="111" t="s">
        <v>15</v>
      </c>
      <c r="AG2" s="110" t="s">
        <v>62</v>
      </c>
      <c r="AH2" s="111" t="s">
        <v>71</v>
      </c>
      <c r="AI2" s="103"/>
      <c r="AJ2" s="110" t="s">
        <v>69</v>
      </c>
      <c r="AK2" s="111" t="s">
        <v>70</v>
      </c>
      <c r="AL2" s="118" t="s">
        <v>74</v>
      </c>
      <c r="AM2" s="119" t="s">
        <v>68</v>
      </c>
      <c r="AN2" s="120" t="s">
        <v>90</v>
      </c>
      <c r="AO2" s="119" t="s">
        <v>61</v>
      </c>
      <c r="AP2" s="103"/>
      <c r="AQ2" s="121" t="s">
        <v>114</v>
      </c>
      <c r="AR2" s="122" t="s">
        <v>115</v>
      </c>
      <c r="AS2" s="120" t="s">
        <v>85</v>
      </c>
      <c r="AT2" s="120" t="s">
        <v>86</v>
      </c>
      <c r="AU2" s="120" t="s">
        <v>87</v>
      </c>
      <c r="AV2" s="119" t="s">
        <v>88</v>
      </c>
      <c r="AW2" s="123"/>
      <c r="AX2" s="124" t="s">
        <v>117</v>
      </c>
      <c r="AY2" s="125" t="s">
        <v>76</v>
      </c>
      <c r="AZ2" s="332" t="s">
        <v>73</v>
      </c>
      <c r="BA2" s="333"/>
    </row>
    <row r="3" spans="1:53" ht="12.75" thickBot="1">
      <c r="A3" s="126"/>
      <c r="B3" s="126"/>
      <c r="C3" s="126"/>
      <c r="D3" s="126"/>
      <c r="E3" s="126"/>
      <c r="F3" s="103"/>
      <c r="G3" s="126"/>
      <c r="H3" s="126"/>
      <c r="I3" s="126"/>
      <c r="J3" s="126"/>
      <c r="K3" s="126"/>
      <c r="L3" s="126"/>
      <c r="M3" s="126"/>
      <c r="N3" s="126"/>
      <c r="O3" s="126"/>
      <c r="P3" s="126"/>
      <c r="Q3" s="126"/>
      <c r="R3" s="103"/>
      <c r="S3" s="126"/>
      <c r="T3" s="126"/>
      <c r="U3" s="127">
        <f>IF(leveraged_property,U5/loan_amount,"")</f>
        <v>5.6778900134700242E-3</v>
      </c>
      <c r="W3" s="103"/>
      <c r="X3" s="126"/>
      <c r="Y3" s="126"/>
      <c r="Z3" s="126"/>
      <c r="AA3" s="128" t="str">
        <f>"Option "&amp;option_termvalue</f>
        <v>Option 2</v>
      </c>
      <c r="AB3" s="129"/>
      <c r="AC3" s="126"/>
      <c r="AD3" s="126"/>
      <c r="AE3" s="126"/>
      <c r="AF3" s="126"/>
      <c r="AG3" s="126"/>
      <c r="AH3" s="130" t="str">
        <f>AA3</f>
        <v>Option 2</v>
      </c>
      <c r="AI3" s="103"/>
      <c r="AJ3" s="126"/>
      <c r="AK3" s="126"/>
      <c r="AL3" s="126"/>
      <c r="AM3" s="131"/>
      <c r="AN3" s="131"/>
      <c r="AO3" s="132"/>
      <c r="AP3" s="131"/>
      <c r="AQ3" s="133"/>
      <c r="AR3" s="131"/>
      <c r="AS3" s="131"/>
      <c r="AT3" s="131"/>
      <c r="AU3" s="131"/>
      <c r="AV3" s="131"/>
      <c r="AW3" s="103"/>
      <c r="AX3" s="134"/>
      <c r="AY3" s="135"/>
      <c r="BA3" s="136" t="s">
        <v>77</v>
      </c>
    </row>
    <row r="4" spans="1:53">
      <c r="A4" s="137">
        <f>Input!C7</f>
        <v>40162</v>
      </c>
      <c r="B4" s="138">
        <v>0</v>
      </c>
      <c r="C4" s="139"/>
      <c r="D4" s="139"/>
      <c r="E4" s="140"/>
      <c r="F4" s="141"/>
      <c r="G4" s="142"/>
      <c r="H4" s="143"/>
      <c r="I4" s="143"/>
      <c r="J4" s="143"/>
      <c r="K4" s="143"/>
      <c r="L4" s="143"/>
      <c r="M4" s="143"/>
      <c r="N4" s="143"/>
      <c r="O4" s="143"/>
      <c r="P4" s="143"/>
      <c r="Q4" s="144"/>
      <c r="R4" s="103"/>
      <c r="S4" s="142"/>
      <c r="T4" s="143"/>
      <c r="U4" s="143"/>
      <c r="V4" s="143"/>
      <c r="W4" s="103"/>
      <c r="X4" s="143"/>
      <c r="Y4" s="143"/>
      <c r="Z4" s="145"/>
      <c r="AA4" s="144"/>
      <c r="AB4" s="103"/>
      <c r="AC4" s="142"/>
      <c r="AD4" s="143"/>
      <c r="AE4" s="143"/>
      <c r="AF4" s="143"/>
      <c r="AG4" s="143"/>
      <c r="AH4" s="143"/>
      <c r="AI4" s="103"/>
      <c r="AJ4" s="134"/>
      <c r="AK4" s="146"/>
      <c r="AL4" s="146"/>
      <c r="AM4" s="146"/>
      <c r="AN4" s="147"/>
      <c r="AO4" s="148"/>
      <c r="AP4" s="132"/>
      <c r="AQ4" s="149">
        <f>-down_payment</f>
        <v>-11200000</v>
      </c>
      <c r="AR4" s="150"/>
      <c r="AS4" s="150"/>
      <c r="AT4" s="150"/>
      <c r="AU4" s="150"/>
      <c r="AV4" s="150"/>
      <c r="AW4" s="151"/>
      <c r="AX4" s="152">
        <f>-down_payment</f>
        <v>-11200000</v>
      </c>
      <c r="AY4" s="153"/>
      <c r="AZ4" s="154" t="s">
        <v>72</v>
      </c>
      <c r="BA4" s="155">
        <v>36</v>
      </c>
    </row>
    <row r="5" spans="1:53">
      <c r="A5" s="137">
        <f>EDATE(A4,1)</f>
        <v>40193</v>
      </c>
      <c r="B5" s="138">
        <f>B4+1</f>
        <v>1</v>
      </c>
      <c r="C5" s="156">
        <f>mthly_rent</f>
        <v>160000</v>
      </c>
      <c r="D5" s="139">
        <f t="shared" ref="D5:D36" si="0">C5*vacancy_losses</f>
        <v>8000</v>
      </c>
      <c r="E5" s="140">
        <f>SUM(C5,-D5)</f>
        <v>152000</v>
      </c>
      <c r="F5" s="141"/>
      <c r="G5" s="157">
        <f>IF(Input!$I$7="",0,IF(B5=Input!$I$7,Input!$I$6,IF(B5=Input!$I$7+12,Input!$I$6*(1+annual_incr_proptax),IF(B5=Input!$I$7+24,Input!$I$6*(1+annual_incr_proptax)^2,IF(B5=Input!$I$7+36,Input!$I$6*(1+annual_incr_proptax)^3,IF(B5=Input!$I$7+48,Input!$I$6*(1+annual_incr_proptax)^4,IF(B5=Input!$I$7+60,Input!$I$6*(1+annual_incr_proptax)^5,IF(B5=Input!$I$7+72,Input!$I$6*(1+annual_incr_proptax)^6,IF(B5=Input!$I$7+84,Input!$I$6*(1+annual_incr_proptax)^7,IF(B5=Input!$I$7+96,Input!$I$6*(1+annual_incr_proptax)^8,IF(B5=Input!$I$7+108,Input!$I$6*(1+annual_incr_proptax)^9,IF(B5=Input!$I$7+120,Input!$I$6*(1+annual_incr_proptax)^10,0))))))))))))</f>
        <v>0</v>
      </c>
      <c r="H5" s="139">
        <f>IF(Input!$I$10="",0,IF(B5=Input!$I$10,Input!$I$9,IF(B5=Input!$I$10+12,Input!$I$9*(1+annual_incr_ins),IF(B5=Input!$I$10+24,Input!$I$9*(1+annual_incr_ins)^2,IF(B5=Input!$I$10+36,Input!$I$9*(1+annual_incr_ins)^3,IF(B5=Input!$I$10+48,Input!$I$9*(1+annual_incr_ins)^4,IF(B5=Input!$I$10+60,Input!$I$9*(1+annual_incr_ins)^5,IF(B5=Input!$I$10+72,Input!$I$9*(1+annual_incr_ins)^6,IF(B5=Input!$I$10+84,Input!$I$9*(1+annual_incr_ins)^7,IF(B5=Input!$I$10+96,Input!$I$9*(1+annual_incr_ins)^8,IF(B5=Input!$I$10+108,Input!$I$9*(1+annual_incr_ins)^9,IF(B5=Input!$I$10+120,Input!$I$9*(1+annual_incr_ins)^10,0))))))))))))</f>
        <v>0</v>
      </c>
      <c r="I5" s="139">
        <f>IF(OR(Input!$I$13="",B5&lt;Input!$I$13),0,IF(AND(B5&gt;=Input!$I$13,B5&lt;Input!$I$13+12),Input!$I$12,IF(B5=Input!$I$13+12,Input!$I$12*(1+annual_incr_util),IF(B5=Input!$I$13+24,Input!$I$12*(1+annual_incr_util)^2,IF(B5=Input!$I$13+36,Input!$I$12*(1+annual_incr_util)^3,IF(B5=Input!$I$13+48,Input!$I$12*(1+annual_incr_util)^4,IF(B5=Input!$I$13+60,Input!$I$12*(1+annual_incr_util)^5,IF(B5=Input!$I$13+72,Input!$I$12*(1+annual_incr_util)^6,IF(B5=Input!$I$13+84,Input!$I$12*(1+annual_incr_util)^7,IF(B5=Input!$I$13+96,Input!$I$12*(1+annual_incr_util)^8,IF(B5=Input!$I$13+108,Input!$I$12*(1+annual_incr_util)^9,IF(B5=Input!$I$13+120,Input!$I$12*(1+annual_incr_util)^10,I4))))))))))))</f>
        <v>0</v>
      </c>
      <c r="J5" s="139">
        <f>IF(Input!$I$16="",0,IF(B5=Input!$I$16,Input!$I$15,IF(B5=Input!$I$16+12,Input!$I$15*(1+annual_incr_advtg),IF(B5=Input!$I$16+24,Input!$I$15*(1+annual_incr_advtg)^2,IF(B5=Input!$I$16+36,Input!$I$15*(1+annual_incr_advtg)^3,IF(B5=Input!$I$16+48,Input!$I$15*(1+annual_incr_advtg)^4,IF(B5=Input!$I$16+60,Input!$I$15*(1+annual_incr_advtg)^5,IF(B5=Input!$I$16+72,Input!$I$15*(1+annual_incr_advtg)^6,IF(B5=Input!$I$16+84,Input!$I$15*(1+annual_incr_advtg)^7,IF(B5=Input!$I$16+96,Input!$I$15*(1+annual_incr_advtg)^8,IF(B5=Input!$I$16+108,Input!$I$15*(1+annual_incr_advtg)^9,IF(B5=Input!$I$16+120,Input!$I$15*(1+annual_incr_advtg)^10,0))))))))))))</f>
        <v>0</v>
      </c>
      <c r="K5" s="139">
        <f>IF(Input!$I$19="",0,IF(B5=Input!$I$19,Input!$I$18,IF(B5=Input!$I$19+12,Input!$I$18*(1+annual_incr_other1),IF(B5=Input!$I$19+24,Input!$I$18*(1+annual_incr_other1)^2,IF(B5=Input!$I$19+36,Input!$I$18*(1+annual_incr_other1)^3,IF(B5=Input!$I$19+48,Input!$I$18*(1+annual_incr_other1)^4,IF(B5=Input!$I$19+60,Input!$I$18*(1+annual_incr_other1)^5,IF(B5=Input!$I$19+72,Input!$I$18*(1+annual_incr_other1)^6,IF(B5=Input!$I$19+84,Input!$I$18*(1+annual_incr_other1)^7,IF(B5=Input!$I$19+96,Input!$I$18*(1+annual_incr_other1)^8,IF(B5=Input!$I$19+108,Input!$I$18*(1+annual_incr_other1)^9,IF(B5=Input!$I$19+120,Input!$I$18*(1+annual_incr_other1)^10,0))))))))))))</f>
        <v>0</v>
      </c>
      <c r="L5" s="156">
        <f>IF(OR(Input!$I$22="",B5&lt;Input!$I$22),0,IF(AND(B5&gt;=Input!$I$22,B5&lt;Input!$I$22+12),Input!$I$21,IF(B5=Input!$I$22+12,Input!$I$21*(1+annual_incr_other2),IF(B5=Input!$I$22+24,Input!$I$21*(1+annual_incr_other2)^2,IF(B5=Input!$I$22+36,Input!$I$21*(1+annual_incr_other2)^3,IF(B5=Input!$I$22+48,Input!$I$21*(1+annual_incr_other2)^4,IF(B5=Input!$I$22+60,Input!$I$21*(1+annual_incr_other2)^5,IF(B5=Input!$I$22+72,Input!$I$21*(1+annual_incr_other2)^6,IF(B5=Input!$I$22+84,Input!$I$21*(1+annual_incr_other2)^7,IF(B5=Input!$I$22+96,Input!$I$21*(1+annual_incr_other2)^8,IF(B5=Input!$I$22+108,Input!$I$21*(1+annual_incr_other2)^9,IF(B5=Input!$I$22+120,Input!$I$21*(1+annual_incr_other2)^10,L4))))))))))))</f>
        <v>550</v>
      </c>
      <c r="M5" s="139">
        <f>IF(OR(Input!$I$27="",B5&lt;Input!$I$27),0,E5*mgmt_fee)</f>
        <v>0</v>
      </c>
      <c r="N5" s="139">
        <f>IF(OR(Input!$I$29="",B5&lt;Input!$I$29),0,E5*repairs_maint)</f>
        <v>1672</v>
      </c>
      <c r="O5" s="149">
        <f>IF(Input!$I$31="",0,IF(OR(B5=Input!$I$31,B5=Input!$I$31+12,B5=Input!$I$31+24,B5=Input!$I$31+36,B5=Input!$I$31+48,B5=Input!$I$31+60,B5=Input!$I$31+72,B5=Input!$I$31+84,B5=Input!$I$31+96,B5=Input!$I$31+108,B5=Input!$I$31+120),E5*other_3,0))</f>
        <v>0</v>
      </c>
      <c r="P5" s="158">
        <f>SUM(G5:O5)</f>
        <v>2222</v>
      </c>
      <c r="Q5" s="159">
        <f>SUM(E5,-P5)</f>
        <v>149778</v>
      </c>
      <c r="R5" s="160"/>
      <c r="S5" s="161">
        <f>IF(AND(leveraged_property,B5&lt;=amort_period),-IPMT(interest_rate/12,B5,amort_period,loan_amount),0)</f>
        <v>43541.666666666664</v>
      </c>
      <c r="T5" s="149">
        <f>U5-S5</f>
        <v>10398.288461298565</v>
      </c>
      <c r="U5" s="149">
        <f>IF(AND(leveraged_property,B5&lt;=amort_period),-PMT(interest_rate/12,amort_period,loan_amount),0)</f>
        <v>53939.95512796523</v>
      </c>
      <c r="V5" s="149">
        <f>IF(leveraged_property,loan_amount-T5,0)</f>
        <v>9489601.7115387022</v>
      </c>
      <c r="W5" s="160"/>
      <c r="X5" s="162">
        <f>total_initial_cost*appreciation_rate/12</f>
        <v>86250</v>
      </c>
      <c r="Y5" s="162">
        <f>SUM(total_initial_cost,X5)*(1-cost_of_sale)</f>
        <v>19954800</v>
      </c>
      <c r="Z5" s="156">
        <f t="shared" ref="Z5:Z36" si="1">(SUM(Q6:Q17)/cap_rate)*(1-cost_of_sale)</f>
        <v>20426359.800000001</v>
      </c>
      <c r="AA5" s="163">
        <f t="shared" ref="AA5:AA36" ca="1" si="2">OFFSET(X5,0,option_termvalue,1,1)</f>
        <v>20426359.800000001</v>
      </c>
      <c r="AB5" s="160"/>
      <c r="AC5" s="164">
        <f>Input!$C$25/12</f>
        <v>26538.461538461535</v>
      </c>
      <c r="AD5" s="139">
        <f t="shared" ref="AD5:AD36" si="3">SUM(Q5,-S5,-AC5)</f>
        <v>79697.871794871811</v>
      </c>
      <c r="AE5" s="149">
        <f t="shared" ref="AE5:AE36" si="4">AD5*income_tax</f>
        <v>23909.361538461544</v>
      </c>
      <c r="AF5" s="139">
        <f ca="1">IF(AA5=0,0,AA5-(total_initial_cost-SUM($AC$5:AC5)))</f>
        <v>-247101.73846153915</v>
      </c>
      <c r="AG5" s="139">
        <f t="shared" ref="AG5:AG36" ca="1" si="5">AF5*capital_gains_tax</f>
        <v>-49420.347692307834</v>
      </c>
      <c r="AH5" s="149">
        <f ca="1">SUM(AA5,-AG5)</f>
        <v>20475780.147692308</v>
      </c>
      <c r="AI5" s="160"/>
      <c r="AJ5" s="165">
        <f t="shared" ref="AJ5:AJ36" ca="1" si="6">IF(AH5=0,0,AH5-total_initial_cost)</f>
        <v>-224219.85230769217</v>
      </c>
      <c r="AK5" s="165"/>
      <c r="AL5" s="166"/>
      <c r="AM5" s="167"/>
      <c r="AN5" s="168"/>
      <c r="AO5" s="169"/>
      <c r="AP5" s="132"/>
      <c r="AQ5" s="149">
        <f>SUM(Q5,-U5)</f>
        <v>95838.044872034778</v>
      </c>
      <c r="AR5" s="149">
        <f t="shared" ref="AR5:AR36" ca="1" si="7">SUM(AQ5,AA5,-V5)</f>
        <v>11032596.133333333</v>
      </c>
      <c r="AS5" s="288">
        <f ca="1">IF(down_payment&lt;=0,"N/A",IRR(($AQ$4:AQ4,AR5),))</f>
        <v>-1.4946773809525736E-2</v>
      </c>
      <c r="AT5" s="290">
        <f t="shared" ref="AT5:AT36" ca="1" si="8">IF(down_payment&lt;=0,"N/A",((1+AS5)^12)-1)</f>
        <v>-0.16532698559434866</v>
      </c>
      <c r="AU5" s="288">
        <f ca="1">IF(down_payment&lt;=0,"N/A",MIRR(($AQ$4:AQ4,AR5),finance_rate,reinvestment_rate))</f>
        <v>-1.4946773809524028E-2</v>
      </c>
      <c r="AV5" s="290">
        <f t="shared" ref="AV5:AV36" ca="1" si="9">IF(down_payment&lt;=0,"N/A",((1+AU5)^12)-1)</f>
        <v>-0.16532698559433157</v>
      </c>
      <c r="AW5" s="132"/>
      <c r="AX5" s="152">
        <f t="shared" ref="AX5:AX36" si="10">IF(B5&lt;$BA$4,SUM(Q5,-U5,-AE5),IF(B5=$BA$4,SUM(Q5,-U5,-AE5,AH5,-V5),""))</f>
        <v>71928.683333573237</v>
      </c>
      <c r="AY5" s="295" t="str">
        <f>IF(AND(B5=$BA$4,OR(down_payment&lt;=0,purchase_date="")),"N/A",IF(B5=$BA$4,XIRR(AX$4:AX5,A$4:A5),""))</f>
        <v/>
      </c>
      <c r="AZ5" s="170"/>
      <c r="BA5" s="171"/>
    </row>
    <row r="6" spans="1:53">
      <c r="A6" s="137">
        <f>EDATE(A5,1)</f>
        <v>40224</v>
      </c>
      <c r="B6" s="138">
        <f t="shared" ref="B6:B69" si="11">B5+1</f>
        <v>2</v>
      </c>
      <c r="C6" s="139">
        <f>C5+(C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6" s="139">
        <f t="shared" si="0"/>
        <v>8000</v>
      </c>
      <c r="E6" s="140">
        <f t="shared" ref="E6:E69" si="12">SUM(C6,-D6)</f>
        <v>152000</v>
      </c>
      <c r="F6" s="141"/>
      <c r="G6" s="157">
        <f>IF(Input!$I$7="",0,IF(B6=Input!$I$7,Input!$I$6,IF(B6=Input!$I$7+12,Input!$I$6*(1+annual_incr_proptax),IF(B6=Input!$I$7+24,Input!$I$6*(1+annual_incr_proptax)^2,IF(B6=Input!$I$7+36,Input!$I$6*(1+annual_incr_proptax)^3,IF(B6=Input!$I$7+48,Input!$I$6*(1+annual_incr_proptax)^4,IF(B6=Input!$I$7+60,Input!$I$6*(1+annual_incr_proptax)^5,IF(B6=Input!$I$7+72,Input!$I$6*(1+annual_incr_proptax)^6,IF(B6=Input!$I$7+84,Input!$I$6*(1+annual_incr_proptax)^7,IF(B6=Input!$I$7+96,Input!$I$6*(1+annual_incr_proptax)^8,IF(B6=Input!$I$7+108,Input!$I$6*(1+annual_incr_proptax)^9,IF(B6=Input!$I$7+120,Input!$I$6*(1+annual_incr_proptax)^10,0))))))))))))</f>
        <v>47000</v>
      </c>
      <c r="H6" s="139">
        <f>IF(Input!$I$10="",0,IF(B6=Input!$I$10,Input!$I$9,IF(B6=Input!$I$10+12,Input!$I$9*(1+annual_incr_ins),IF(B6=Input!$I$10+24,Input!$I$9*(1+annual_incr_ins)^2,IF(B6=Input!$I$10+36,Input!$I$9*(1+annual_incr_ins)^3,IF(B6=Input!$I$10+48,Input!$I$9*(1+annual_incr_ins)^4,IF(B6=Input!$I$10+60,Input!$I$9*(1+annual_incr_ins)^5,IF(B6=Input!$I$10+72,Input!$I$9*(1+annual_incr_ins)^6,IF(B6=Input!$I$10+84,Input!$I$9*(1+annual_incr_ins)^7,IF(B6=Input!$I$10+96,Input!$I$9*(1+annual_incr_ins)^8,IF(B6=Input!$I$10+108,Input!$I$9*(1+annual_incr_ins)^9,IF(B6=Input!$I$10+120,Input!$I$9*(1+annual_incr_ins)^10,0))))))))))))</f>
        <v>0</v>
      </c>
      <c r="I6" s="139">
        <f>IF(OR(Input!$I$13="",B6&lt;Input!$I$13),0,IF(AND(B6&gt;=Input!$I$13,B6&lt;Input!$I$13+12),Input!$I$12,IF(B6=Input!$I$13+12,Input!$I$12*(1+annual_incr_util),IF(B6=Input!$I$13+24,Input!$I$12*(1+annual_incr_util)^2,IF(B6=Input!$I$13+36,Input!$I$12*(1+annual_incr_util)^3,IF(B6=Input!$I$13+48,Input!$I$12*(1+annual_incr_util)^4,IF(B6=Input!$I$13+60,Input!$I$12*(1+annual_incr_util)^5,IF(B6=Input!$I$13+72,Input!$I$12*(1+annual_incr_util)^6,IF(B6=Input!$I$13+84,Input!$I$12*(1+annual_incr_util)^7,IF(B6=Input!$I$13+96,Input!$I$12*(1+annual_incr_util)^8,IF(B6=Input!$I$13+108,Input!$I$12*(1+annual_incr_util)^9,IF(B6=Input!$I$13+120,Input!$I$12*(1+annual_incr_util)^10,I5))))))))))))</f>
        <v>0</v>
      </c>
      <c r="J6" s="139">
        <f>IF(Input!$I$16="",0,IF(B6=Input!$I$16,Input!$I$15,IF(B6=Input!$I$16+12,Input!$I$15*(1+annual_incr_advtg),IF(B6=Input!$I$16+24,Input!$I$15*(1+annual_incr_advtg)^2,IF(B6=Input!$I$16+36,Input!$I$15*(1+annual_incr_advtg)^3,IF(B6=Input!$I$16+48,Input!$I$15*(1+annual_incr_advtg)^4,IF(B6=Input!$I$16+60,Input!$I$15*(1+annual_incr_advtg)^5,IF(B6=Input!$I$16+72,Input!$I$15*(1+annual_incr_advtg)^6,IF(B6=Input!$I$16+84,Input!$I$15*(1+annual_incr_advtg)^7,IF(B6=Input!$I$16+96,Input!$I$15*(1+annual_incr_advtg)^8,IF(B6=Input!$I$16+108,Input!$I$15*(1+annual_incr_advtg)^9,IF(B6=Input!$I$16+120,Input!$I$15*(1+annual_incr_advtg)^10,0))))))))))))</f>
        <v>0</v>
      </c>
      <c r="K6" s="139">
        <f>IF(Input!$I$19="",0,IF(B6=Input!$I$19,Input!$I$18,IF(B6=Input!$I$19+12,Input!$I$18*(1+annual_incr_other1),IF(B6=Input!$I$19+24,Input!$I$18*(1+annual_incr_other1)^2,IF(B6=Input!$I$19+36,Input!$I$18*(1+annual_incr_other1)^3,IF(B6=Input!$I$19+48,Input!$I$18*(1+annual_incr_other1)^4,IF(B6=Input!$I$19+60,Input!$I$18*(1+annual_incr_other1)^5,IF(B6=Input!$I$19+72,Input!$I$18*(1+annual_incr_other1)^6,IF(B6=Input!$I$19+84,Input!$I$18*(1+annual_incr_other1)^7,IF(B6=Input!$I$19+96,Input!$I$18*(1+annual_incr_other1)^8,IF(B6=Input!$I$19+108,Input!$I$18*(1+annual_incr_other1)^9,IF(B6=Input!$I$19+120,Input!$I$18*(1+annual_incr_other1)^10,0))))))))))))</f>
        <v>0</v>
      </c>
      <c r="L6" s="156">
        <f>IF(OR(Input!$I$22="",B6&lt;Input!$I$22),0,IF(AND(B6&gt;=Input!$I$22,B6&lt;Input!$I$22+12),Input!$I$21,IF(B6=Input!$I$22+12,Input!$I$21*(1+annual_incr_other2),IF(B6=Input!$I$22+24,Input!$I$21*(1+annual_incr_other2)^2,IF(B6=Input!$I$22+36,Input!$I$21*(1+annual_incr_other2)^3,IF(B6=Input!$I$22+48,Input!$I$21*(1+annual_incr_other2)^4,IF(B6=Input!$I$22+60,Input!$I$21*(1+annual_incr_other2)^5,IF(B6=Input!$I$22+72,Input!$I$21*(1+annual_incr_other2)^6,IF(B6=Input!$I$22+84,Input!$I$21*(1+annual_incr_other2)^7,IF(B6=Input!$I$22+96,Input!$I$21*(1+annual_incr_other2)^8,IF(B6=Input!$I$22+108,Input!$I$21*(1+annual_incr_other2)^9,IF(B6=Input!$I$22+120,Input!$I$21*(1+annual_incr_other2)^10,L5))))))))))))</f>
        <v>550</v>
      </c>
      <c r="M6" s="139">
        <f>IF(OR(Input!$I$27="",B6&lt;Input!$I$27),0,E6*mgmt_fee)</f>
        <v>0</v>
      </c>
      <c r="N6" s="139">
        <f>IF(OR(Input!$I$29="",B6&lt;Input!$I$29),0,E6*repairs_maint)</f>
        <v>1672</v>
      </c>
      <c r="O6" s="149">
        <f>IF(Input!$I$31="",0,IF(OR(B6=Input!$I$31,B6=Input!$I$31+12,B6=Input!$I$31+24,B6=Input!$I$31+36,B6=Input!$I$31+48,B6=Input!$I$31+60,B6=Input!$I$31+72,B6=Input!$I$31+84,B6=Input!$I$31+96,B6=Input!$I$31+108,B6=Input!$I$31+120),E6*other_3,0))</f>
        <v>1945.6000000000001</v>
      </c>
      <c r="P6" s="158">
        <f t="shared" ref="P6:P69" si="13">SUM(G6:O6)</f>
        <v>51167.6</v>
      </c>
      <c r="Q6" s="159">
        <f t="shared" ref="Q6:Q69" si="14">SUM(E6,-P6)</f>
        <v>100832.4</v>
      </c>
      <c r="R6" s="160"/>
      <c r="S6" s="161">
        <f>IF(AND(leveraged_property,B6&lt;=amort_period),-IPMT(interest_rate/12,B6,amort_period,loan_amount),0)</f>
        <v>43494.007844552383</v>
      </c>
      <c r="T6" s="149">
        <f t="shared" ref="T6:T69" si="15">U6-S6</f>
        <v>10445.947283412846</v>
      </c>
      <c r="U6" s="149">
        <f>IF(AND(leveraged_property,B6&lt;=amort_period),-PMT(interest_rate/12,amort_period,loan_amount),0)</f>
        <v>53939.95512796523</v>
      </c>
      <c r="V6" s="149">
        <f t="shared" ref="V6:V37" si="16">V5-T6</f>
        <v>9479155.764255289</v>
      </c>
      <c r="W6" s="160"/>
      <c r="X6" s="149">
        <f t="shared" ref="X6:X37" si="17">IF(MOD(month_no-1,12)=0,X5+X5*appreciation_rate,X5)</f>
        <v>86250</v>
      </c>
      <c r="Y6" s="162">
        <f t="shared" ref="Y6:Y37" si="18">Y5+X6*(1-cost_of_sale)</f>
        <v>20037600</v>
      </c>
      <c r="Z6" s="156">
        <f t="shared" si="1"/>
        <v>20384638.800000001</v>
      </c>
      <c r="AA6" s="163">
        <f t="shared" ca="1" si="2"/>
        <v>20384638.800000001</v>
      </c>
      <c r="AB6" s="160"/>
      <c r="AC6" s="164">
        <f>Input!$C$25/12</f>
        <v>26538.461538461535</v>
      </c>
      <c r="AD6" s="139">
        <f t="shared" si="3"/>
        <v>30799.930616986076</v>
      </c>
      <c r="AE6" s="149">
        <f t="shared" si="4"/>
        <v>9239.9791850958227</v>
      </c>
      <c r="AF6" s="139">
        <f ca="1">IF(AA6=0,0,AA6-(total_initial_cost-SUM($AC$5:AC6)))</f>
        <v>-262284.27692307532</v>
      </c>
      <c r="AG6" s="139">
        <f t="shared" ca="1" si="5"/>
        <v>-52456.855384615068</v>
      </c>
      <c r="AH6" s="149">
        <f t="shared" ref="AH6:AH69" ca="1" si="19">SUM(AA6,-AG6)</f>
        <v>20437095.655384615</v>
      </c>
      <c r="AI6" s="160"/>
      <c r="AJ6" s="165">
        <f t="shared" ca="1" si="6"/>
        <v>-262904.34461538494</v>
      </c>
      <c r="AK6" s="165"/>
      <c r="AL6" s="166"/>
      <c r="AM6" s="167"/>
      <c r="AN6" s="168"/>
      <c r="AO6" s="169"/>
      <c r="AP6" s="132"/>
      <c r="AQ6" s="149">
        <f>SUM(Q6,-U6)</f>
        <v>46892.444872034765</v>
      </c>
      <c r="AR6" s="149">
        <f t="shared" ca="1" si="7"/>
        <v>10952375.480616748</v>
      </c>
      <c r="AS6" s="288">
        <f ca="1">IF(down_payment&lt;=0,"N/A",IRR(($AQ$4:AQ5,AR6),))</f>
        <v>-6.8287141110901142E-3</v>
      </c>
      <c r="AT6" s="290">
        <f t="shared" ca="1" si="8"/>
        <v>-7.8935891483080445E-2</v>
      </c>
      <c r="AU6" s="288">
        <f ca="1">IF(down_payment&lt;=0,"N/A",MIRR(($AQ$4:AQ5,AR6),finance_rate,reinvestment_rate))</f>
        <v>-6.734682610563536E-3</v>
      </c>
      <c r="AV6" s="290">
        <f t="shared" ca="1" si="9"/>
        <v>-7.7888891971207963E-2</v>
      </c>
      <c r="AW6" s="172"/>
      <c r="AX6" s="152">
        <f t="shared" si="10"/>
        <v>37652.465686938944</v>
      </c>
      <c r="AY6" s="295" t="str">
        <f>IF(AND(B6=$BA$4,OR(down_payment&lt;=0,purchase_date="")),"N/A",IF(B6=$BA$4,XIRR(AX$4:AX6,A$4:A6),""))</f>
        <v/>
      </c>
      <c r="AZ6" s="173" t="s">
        <v>55</v>
      </c>
      <c r="BA6" s="292">
        <f ca="1">IF(down_payment&lt;=0,"N/A",IRR($AX$4:$AX$124,))</f>
        <v>1.1889932169623852E-2</v>
      </c>
    </row>
    <row r="7" spans="1:53">
      <c r="A7" s="137">
        <f>EDATE(A6,1)</f>
        <v>40252</v>
      </c>
      <c r="B7" s="138">
        <f t="shared" si="11"/>
        <v>3</v>
      </c>
      <c r="C7" s="139">
        <f>C6+(C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7" s="139">
        <f t="shared" si="0"/>
        <v>8000</v>
      </c>
      <c r="E7" s="140">
        <f t="shared" si="12"/>
        <v>152000</v>
      </c>
      <c r="F7" s="141"/>
      <c r="G7" s="157">
        <f>IF(Input!$I$7="",0,IF(B7=Input!$I$7,Input!$I$6,IF(B7=Input!$I$7+12,Input!$I$6*(1+annual_incr_proptax),IF(B7=Input!$I$7+24,Input!$I$6*(1+annual_incr_proptax)^2,IF(B7=Input!$I$7+36,Input!$I$6*(1+annual_incr_proptax)^3,IF(B7=Input!$I$7+48,Input!$I$6*(1+annual_incr_proptax)^4,IF(B7=Input!$I$7+60,Input!$I$6*(1+annual_incr_proptax)^5,IF(B7=Input!$I$7+72,Input!$I$6*(1+annual_incr_proptax)^6,IF(B7=Input!$I$7+84,Input!$I$6*(1+annual_incr_proptax)^7,IF(B7=Input!$I$7+96,Input!$I$6*(1+annual_incr_proptax)^8,IF(B7=Input!$I$7+108,Input!$I$6*(1+annual_incr_proptax)^9,IF(B7=Input!$I$7+120,Input!$I$6*(1+annual_incr_proptax)^10,0))))))))))))</f>
        <v>0</v>
      </c>
      <c r="H7" s="139">
        <f>IF(Input!$I$10="",0,IF(B7=Input!$I$10,Input!$I$9,IF(B7=Input!$I$10+12,Input!$I$9*(1+annual_incr_ins),IF(B7=Input!$I$10+24,Input!$I$9*(1+annual_incr_ins)^2,IF(B7=Input!$I$10+36,Input!$I$9*(1+annual_incr_ins)^3,IF(B7=Input!$I$10+48,Input!$I$9*(1+annual_incr_ins)^4,IF(B7=Input!$I$10+60,Input!$I$9*(1+annual_incr_ins)^5,IF(B7=Input!$I$10+72,Input!$I$9*(1+annual_incr_ins)^6,IF(B7=Input!$I$10+84,Input!$I$9*(1+annual_incr_ins)^7,IF(B7=Input!$I$10+96,Input!$I$9*(1+annual_incr_ins)^8,IF(B7=Input!$I$10+108,Input!$I$9*(1+annual_incr_ins)^9,IF(B7=Input!$I$10+120,Input!$I$9*(1+annual_incr_ins)^10,0))))))))))))</f>
        <v>0</v>
      </c>
      <c r="I7" s="139">
        <f>IF(OR(Input!$I$13="",B7&lt;Input!$I$13),0,IF(AND(B7&gt;=Input!$I$13,B7&lt;Input!$I$13+12),Input!$I$12,IF(B7=Input!$I$13+12,Input!$I$12*(1+annual_incr_util),IF(B7=Input!$I$13+24,Input!$I$12*(1+annual_incr_util)^2,IF(B7=Input!$I$13+36,Input!$I$12*(1+annual_incr_util)^3,IF(B7=Input!$I$13+48,Input!$I$12*(1+annual_incr_util)^4,IF(B7=Input!$I$13+60,Input!$I$12*(1+annual_incr_util)^5,IF(B7=Input!$I$13+72,Input!$I$12*(1+annual_incr_util)^6,IF(B7=Input!$I$13+84,Input!$I$12*(1+annual_incr_util)^7,IF(B7=Input!$I$13+96,Input!$I$12*(1+annual_incr_util)^8,IF(B7=Input!$I$13+108,Input!$I$12*(1+annual_incr_util)^9,IF(B7=Input!$I$13+120,Input!$I$12*(1+annual_incr_util)^10,I6))))))))))))</f>
        <v>0</v>
      </c>
      <c r="J7" s="139">
        <f>IF(Input!$I$16="",0,IF(B7=Input!$I$16,Input!$I$15,IF(B7=Input!$I$16+12,Input!$I$15*(1+annual_incr_advtg),IF(B7=Input!$I$16+24,Input!$I$15*(1+annual_incr_advtg)^2,IF(B7=Input!$I$16+36,Input!$I$15*(1+annual_incr_advtg)^3,IF(B7=Input!$I$16+48,Input!$I$15*(1+annual_incr_advtg)^4,IF(B7=Input!$I$16+60,Input!$I$15*(1+annual_incr_advtg)^5,IF(B7=Input!$I$16+72,Input!$I$15*(1+annual_incr_advtg)^6,IF(B7=Input!$I$16+84,Input!$I$15*(1+annual_incr_advtg)^7,IF(B7=Input!$I$16+96,Input!$I$15*(1+annual_incr_advtg)^8,IF(B7=Input!$I$16+108,Input!$I$15*(1+annual_incr_advtg)^9,IF(B7=Input!$I$16+120,Input!$I$15*(1+annual_incr_advtg)^10,0))))))))))))</f>
        <v>0</v>
      </c>
      <c r="K7" s="139">
        <f>IF(Input!$I$19="",0,IF(B7=Input!$I$19,Input!$I$18,IF(B7=Input!$I$19+12,Input!$I$18*(1+annual_incr_other1),IF(B7=Input!$I$19+24,Input!$I$18*(1+annual_incr_other1)^2,IF(B7=Input!$I$19+36,Input!$I$18*(1+annual_incr_other1)^3,IF(B7=Input!$I$19+48,Input!$I$18*(1+annual_incr_other1)^4,IF(B7=Input!$I$19+60,Input!$I$18*(1+annual_incr_other1)^5,IF(B7=Input!$I$19+72,Input!$I$18*(1+annual_incr_other1)^6,IF(B7=Input!$I$19+84,Input!$I$18*(1+annual_incr_other1)^7,IF(B7=Input!$I$19+96,Input!$I$18*(1+annual_incr_other1)^8,IF(B7=Input!$I$19+108,Input!$I$18*(1+annual_incr_other1)^9,IF(B7=Input!$I$19+120,Input!$I$18*(1+annual_incr_other1)^10,0))))))))))))</f>
        <v>0</v>
      </c>
      <c r="L7" s="156">
        <f>IF(OR(Input!$I$22="",B7&lt;Input!$I$22),0,IF(AND(B7&gt;=Input!$I$22,B7&lt;Input!$I$22+12),Input!$I$21,IF(B7=Input!$I$22+12,Input!$I$21*(1+annual_incr_other2),IF(B7=Input!$I$22+24,Input!$I$21*(1+annual_incr_other2)^2,IF(B7=Input!$I$22+36,Input!$I$21*(1+annual_incr_other2)^3,IF(B7=Input!$I$22+48,Input!$I$21*(1+annual_incr_other2)^4,IF(B7=Input!$I$22+60,Input!$I$21*(1+annual_incr_other2)^5,IF(B7=Input!$I$22+72,Input!$I$21*(1+annual_incr_other2)^6,IF(B7=Input!$I$22+84,Input!$I$21*(1+annual_incr_other2)^7,IF(B7=Input!$I$22+96,Input!$I$21*(1+annual_incr_other2)^8,IF(B7=Input!$I$22+108,Input!$I$21*(1+annual_incr_other2)^9,IF(B7=Input!$I$22+120,Input!$I$21*(1+annual_incr_other2)^10,L6))))))))))))</f>
        <v>550</v>
      </c>
      <c r="M7" s="139">
        <f>IF(OR(Input!$I$27="",B7&lt;Input!$I$27),0,E7*mgmt_fee)</f>
        <v>0</v>
      </c>
      <c r="N7" s="139">
        <f>IF(OR(Input!$I$29="",B7&lt;Input!$I$29),0,E7*repairs_maint)</f>
        <v>1672</v>
      </c>
      <c r="O7" s="149">
        <f>IF(Input!$I$31="",0,IF(OR(B7=Input!$I$31,B7=Input!$I$31+12,B7=Input!$I$31+24,B7=Input!$I$31+36,B7=Input!$I$31+48,B7=Input!$I$31+60,B7=Input!$I$31+72,B7=Input!$I$31+84,B7=Input!$I$31+96,B7=Input!$I$31+108,B7=Input!$I$31+120),E7*other_3,0))</f>
        <v>0</v>
      </c>
      <c r="P7" s="158">
        <f t="shared" si="13"/>
        <v>2222</v>
      </c>
      <c r="Q7" s="159">
        <f t="shared" si="14"/>
        <v>149778</v>
      </c>
      <c r="R7" s="160"/>
      <c r="S7" s="161">
        <f>IF(AND(leveraged_property,B7&lt;=amort_period),-IPMT(interest_rate/12,B7,amort_period,loan_amount),0)</f>
        <v>43446.130586170075</v>
      </c>
      <c r="T7" s="149">
        <f t="shared" si="15"/>
        <v>10493.824541795155</v>
      </c>
      <c r="U7" s="149">
        <f>IF(AND(leveraged_property,B7&lt;=amort_period),-PMT(interest_rate/12,amort_period,loan_amount),0)</f>
        <v>53939.95512796523</v>
      </c>
      <c r="V7" s="149">
        <f t="shared" si="16"/>
        <v>9468661.939713493</v>
      </c>
      <c r="W7" s="160"/>
      <c r="X7" s="149">
        <f t="shared" si="17"/>
        <v>86250</v>
      </c>
      <c r="Y7" s="162">
        <f t="shared" si="18"/>
        <v>20120400</v>
      </c>
      <c r="Z7" s="156">
        <f t="shared" si="1"/>
        <v>20362657.800000001</v>
      </c>
      <c r="AA7" s="163">
        <f t="shared" ca="1" si="2"/>
        <v>20362657.800000001</v>
      </c>
      <c r="AB7" s="160"/>
      <c r="AC7" s="164">
        <f>Input!$C$25/12</f>
        <v>26538.461538461535</v>
      </c>
      <c r="AD7" s="139">
        <f t="shared" si="3"/>
        <v>79793.407875368401</v>
      </c>
      <c r="AE7" s="149">
        <f t="shared" si="4"/>
        <v>23938.022362610518</v>
      </c>
      <c r="AF7" s="139">
        <f ca="1">IF(AA7=0,0,AA7-(total_initial_cost-SUM($AC$5:AC7)))</f>
        <v>-257726.81538461521</v>
      </c>
      <c r="AG7" s="139">
        <f t="shared" ca="1" si="5"/>
        <v>-51545.363076923044</v>
      </c>
      <c r="AH7" s="149">
        <f t="shared" ca="1" si="19"/>
        <v>20414203.163076922</v>
      </c>
      <c r="AI7" s="160"/>
      <c r="AJ7" s="165">
        <f t="shared" ca="1" si="6"/>
        <v>-285796.8369230777</v>
      </c>
      <c r="AK7" s="165"/>
      <c r="AL7" s="166"/>
      <c r="AM7" s="167"/>
      <c r="AN7" s="168"/>
      <c r="AO7" s="169"/>
      <c r="AP7" s="132"/>
      <c r="AQ7" s="149">
        <f t="shared" ref="AQ7:AQ70" si="20">SUM(Q7,-U7)</f>
        <v>95838.044872034778</v>
      </c>
      <c r="AR7" s="149">
        <f t="shared" ca="1" si="7"/>
        <v>10989833.905158542</v>
      </c>
      <c r="AS7" s="288">
        <f ca="1">IF(down_payment&lt;=0,"N/A",IRR(($AQ$4:AQ6,AR7),))</f>
        <v>-2.0254815941953253E-3</v>
      </c>
      <c r="AT7" s="290">
        <f t="shared" ca="1" si="8"/>
        <v>-2.4036828962577195E-2</v>
      </c>
      <c r="AU7" s="288">
        <f ca="1">IF(down_payment&lt;=0,"N/A",MIRR(($AQ$4:AQ6,AR7),finance_rate,reinvestment_rate))</f>
        <v>-1.9034874392367396E-3</v>
      </c>
      <c r="AV7" s="290">
        <f t="shared" ca="1" si="9"/>
        <v>-2.2604224644171333E-2</v>
      </c>
      <c r="AW7" s="132"/>
      <c r="AX7" s="152">
        <f t="shared" si="10"/>
        <v>71900.022509424263</v>
      </c>
      <c r="AY7" s="295" t="str">
        <f>IF(AND(B7=$BA$4,OR(down_payment&lt;=0,purchase_date="")),"N/A",IF(B7=$BA$4,XIRR(AX$4:AX7,A$4:A7),""))</f>
        <v/>
      </c>
      <c r="AZ7" s="170"/>
      <c r="BA7" s="171"/>
    </row>
    <row r="8" spans="1:53">
      <c r="A8" s="137">
        <f t="shared" ref="A8:A71" si="21">EDATE(A7,1)</f>
        <v>40283</v>
      </c>
      <c r="B8" s="138">
        <f t="shared" si="11"/>
        <v>4</v>
      </c>
      <c r="C8" s="139">
        <f>C7+(C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8" s="139">
        <f t="shared" si="0"/>
        <v>8000</v>
      </c>
      <c r="E8" s="140">
        <f t="shared" si="12"/>
        <v>152000</v>
      </c>
      <c r="F8" s="141"/>
      <c r="G8" s="157">
        <f>IF(Input!$I$7="",0,IF(B8=Input!$I$7,Input!$I$6,IF(B8=Input!$I$7+12,Input!$I$6*(1+annual_incr_proptax),IF(B8=Input!$I$7+24,Input!$I$6*(1+annual_incr_proptax)^2,IF(B8=Input!$I$7+36,Input!$I$6*(1+annual_incr_proptax)^3,IF(B8=Input!$I$7+48,Input!$I$6*(1+annual_incr_proptax)^4,IF(B8=Input!$I$7+60,Input!$I$6*(1+annual_incr_proptax)^5,IF(B8=Input!$I$7+72,Input!$I$6*(1+annual_incr_proptax)^6,IF(B8=Input!$I$7+84,Input!$I$6*(1+annual_incr_proptax)^7,IF(B8=Input!$I$7+96,Input!$I$6*(1+annual_incr_proptax)^8,IF(B8=Input!$I$7+108,Input!$I$6*(1+annual_incr_proptax)^9,IF(B8=Input!$I$7+120,Input!$I$6*(1+annual_incr_proptax)^10,0))))))))))))</f>
        <v>0</v>
      </c>
      <c r="H8" s="139">
        <f>IF(Input!$I$10="",0,IF(B8=Input!$I$10,Input!$I$9,IF(B8=Input!$I$10+12,Input!$I$9*(1+annual_incr_ins),IF(B8=Input!$I$10+24,Input!$I$9*(1+annual_incr_ins)^2,IF(B8=Input!$I$10+36,Input!$I$9*(1+annual_incr_ins)^3,IF(B8=Input!$I$10+48,Input!$I$9*(1+annual_incr_ins)^4,IF(B8=Input!$I$10+60,Input!$I$9*(1+annual_incr_ins)^5,IF(B8=Input!$I$10+72,Input!$I$9*(1+annual_incr_ins)^6,IF(B8=Input!$I$10+84,Input!$I$9*(1+annual_incr_ins)^7,IF(B8=Input!$I$10+96,Input!$I$9*(1+annual_incr_ins)^8,IF(B8=Input!$I$10+108,Input!$I$9*(1+annual_incr_ins)^9,IF(B8=Input!$I$10+120,Input!$I$9*(1+annual_incr_ins)^10,0))))))))))))</f>
        <v>0</v>
      </c>
      <c r="I8" s="139">
        <f>IF(OR(Input!$I$13="",B8&lt;Input!$I$13),0,IF(AND(B8&gt;=Input!$I$13,B8&lt;Input!$I$13+12),Input!$I$12,IF(B8=Input!$I$13+12,Input!$I$12*(1+annual_incr_util),IF(B8=Input!$I$13+24,Input!$I$12*(1+annual_incr_util)^2,IF(B8=Input!$I$13+36,Input!$I$12*(1+annual_incr_util)^3,IF(B8=Input!$I$13+48,Input!$I$12*(1+annual_incr_util)^4,IF(B8=Input!$I$13+60,Input!$I$12*(1+annual_incr_util)^5,IF(B8=Input!$I$13+72,Input!$I$12*(1+annual_incr_util)^6,IF(B8=Input!$I$13+84,Input!$I$12*(1+annual_incr_util)^7,IF(B8=Input!$I$13+96,Input!$I$12*(1+annual_incr_util)^8,IF(B8=Input!$I$13+108,Input!$I$12*(1+annual_incr_util)^9,IF(B8=Input!$I$13+120,Input!$I$12*(1+annual_incr_util)^10,I7))))))))))))</f>
        <v>450</v>
      </c>
      <c r="J8" s="139">
        <f>IF(Input!$I$16="",0,IF(B8=Input!$I$16,Input!$I$15,IF(B8=Input!$I$16+12,Input!$I$15*(1+annual_incr_advtg),IF(B8=Input!$I$16+24,Input!$I$15*(1+annual_incr_advtg)^2,IF(B8=Input!$I$16+36,Input!$I$15*(1+annual_incr_advtg)^3,IF(B8=Input!$I$16+48,Input!$I$15*(1+annual_incr_advtg)^4,IF(B8=Input!$I$16+60,Input!$I$15*(1+annual_incr_advtg)^5,IF(B8=Input!$I$16+72,Input!$I$15*(1+annual_incr_advtg)^6,IF(B8=Input!$I$16+84,Input!$I$15*(1+annual_incr_advtg)^7,IF(B8=Input!$I$16+96,Input!$I$15*(1+annual_incr_advtg)^8,IF(B8=Input!$I$16+108,Input!$I$15*(1+annual_incr_advtg)^9,IF(B8=Input!$I$16+120,Input!$I$15*(1+annual_incr_advtg)^10,0))))))))))))</f>
        <v>0</v>
      </c>
      <c r="K8" s="139">
        <f>IF(Input!$I$19="",0,IF(B8=Input!$I$19,Input!$I$18,IF(B8=Input!$I$19+12,Input!$I$18*(1+annual_incr_other1),IF(B8=Input!$I$19+24,Input!$I$18*(1+annual_incr_other1)^2,IF(B8=Input!$I$19+36,Input!$I$18*(1+annual_incr_other1)^3,IF(B8=Input!$I$19+48,Input!$I$18*(1+annual_incr_other1)^4,IF(B8=Input!$I$19+60,Input!$I$18*(1+annual_incr_other1)^5,IF(B8=Input!$I$19+72,Input!$I$18*(1+annual_incr_other1)^6,IF(B8=Input!$I$19+84,Input!$I$18*(1+annual_incr_other1)^7,IF(B8=Input!$I$19+96,Input!$I$18*(1+annual_incr_other1)^8,IF(B8=Input!$I$19+108,Input!$I$18*(1+annual_incr_other1)^9,IF(B8=Input!$I$19+120,Input!$I$18*(1+annual_incr_other1)^10,0))))))))))))</f>
        <v>0</v>
      </c>
      <c r="L8" s="156">
        <f>IF(OR(Input!$I$22="",B8&lt;Input!$I$22),0,IF(AND(B8&gt;=Input!$I$22,B8&lt;Input!$I$22+12),Input!$I$21,IF(B8=Input!$I$22+12,Input!$I$21*(1+annual_incr_other2),IF(B8=Input!$I$22+24,Input!$I$21*(1+annual_incr_other2)^2,IF(B8=Input!$I$22+36,Input!$I$21*(1+annual_incr_other2)^3,IF(B8=Input!$I$22+48,Input!$I$21*(1+annual_incr_other2)^4,IF(B8=Input!$I$22+60,Input!$I$21*(1+annual_incr_other2)^5,IF(B8=Input!$I$22+72,Input!$I$21*(1+annual_incr_other2)^6,IF(B8=Input!$I$22+84,Input!$I$21*(1+annual_incr_other2)^7,IF(B8=Input!$I$22+96,Input!$I$21*(1+annual_incr_other2)^8,IF(B8=Input!$I$22+108,Input!$I$21*(1+annual_incr_other2)^9,IF(B8=Input!$I$22+120,Input!$I$21*(1+annual_incr_other2)^10,L7))))))))))))</f>
        <v>550</v>
      </c>
      <c r="M8" s="139">
        <f>IF(OR(Input!$I$27="",B8&lt;Input!$I$27),0,E8*mgmt_fee)</f>
        <v>1368</v>
      </c>
      <c r="N8" s="139">
        <f>IF(OR(Input!$I$29="",B8&lt;Input!$I$29),0,E8*repairs_maint)</f>
        <v>1672</v>
      </c>
      <c r="O8" s="149">
        <f>IF(Input!$I$31="",0,IF(OR(B8=Input!$I$31,B8=Input!$I$31+12,B8=Input!$I$31+24,B8=Input!$I$31+36,B8=Input!$I$31+48,B8=Input!$I$31+60,B8=Input!$I$31+72,B8=Input!$I$31+84,B8=Input!$I$31+96,B8=Input!$I$31+108,B8=Input!$I$31+120),E8*other_3,0))</f>
        <v>0</v>
      </c>
      <c r="P8" s="158">
        <f t="shared" si="13"/>
        <v>4040</v>
      </c>
      <c r="Q8" s="159">
        <f t="shared" si="14"/>
        <v>147960</v>
      </c>
      <c r="R8" s="160"/>
      <c r="S8" s="161">
        <f>IF(AND(leveraged_property,B8&lt;=amort_period),-IPMT(interest_rate/12,B8,amort_period,loan_amount),0)</f>
        <v>43398.033890353508</v>
      </c>
      <c r="T8" s="149">
        <f t="shared" si="15"/>
        <v>10541.921237611721</v>
      </c>
      <c r="U8" s="149">
        <f>IF(AND(leveraged_property,B8&lt;=amort_period),-PMT(interest_rate/12,amort_period,loan_amount),0)</f>
        <v>53939.95512796523</v>
      </c>
      <c r="V8" s="149">
        <f t="shared" si="16"/>
        <v>9458120.0184758808</v>
      </c>
      <c r="W8" s="160"/>
      <c r="X8" s="149">
        <f t="shared" si="17"/>
        <v>86250</v>
      </c>
      <c r="Y8" s="162">
        <f t="shared" si="18"/>
        <v>20203200</v>
      </c>
      <c r="Z8" s="156">
        <f t="shared" si="1"/>
        <v>20362317.300000001</v>
      </c>
      <c r="AA8" s="163">
        <f t="shared" ca="1" si="2"/>
        <v>20362317.300000001</v>
      </c>
      <c r="AB8" s="160"/>
      <c r="AC8" s="164">
        <f>Input!$C$25/12</f>
        <v>26538.461538461535</v>
      </c>
      <c r="AD8" s="139">
        <f t="shared" si="3"/>
        <v>78023.504571184953</v>
      </c>
      <c r="AE8" s="149">
        <f t="shared" si="4"/>
        <v>23407.051371355486</v>
      </c>
      <c r="AF8" s="139">
        <f ca="1">IF(AA8=0,0,AA8-(total_initial_cost-SUM($AC$5:AC8)))</f>
        <v>-231528.85384615138</v>
      </c>
      <c r="AG8" s="139">
        <f t="shared" ca="1" si="5"/>
        <v>-46305.770769230279</v>
      </c>
      <c r="AH8" s="149">
        <f t="shared" ca="1" si="19"/>
        <v>20408623.070769232</v>
      </c>
      <c r="AI8" s="160"/>
      <c r="AJ8" s="165">
        <f t="shared" ca="1" si="6"/>
        <v>-291376.92923076823</v>
      </c>
      <c r="AK8" s="165"/>
      <c r="AL8" s="166"/>
      <c r="AM8" s="167"/>
      <c r="AN8" s="168"/>
      <c r="AO8" s="169"/>
      <c r="AP8" s="132"/>
      <c r="AQ8" s="149">
        <f t="shared" si="20"/>
        <v>94020.044872034778</v>
      </c>
      <c r="AR8" s="149">
        <f t="shared" ca="1" si="7"/>
        <v>10998217.326396154</v>
      </c>
      <c r="AS8" s="288">
        <f ca="1">IF(down_payment&lt;=0,"N/A",IRR(($AQ$4:AQ7,AR8),))</f>
        <v>8.289151409999326E-4</v>
      </c>
      <c r="AT8" s="290">
        <f t="shared" ca="1" si="8"/>
        <v>9.9924558470532165E-3</v>
      </c>
      <c r="AU8" s="288">
        <f ca="1">IF(down_payment&lt;=0,"N/A",MIRR(($AQ$4:AQ7,AR8),finance_rate,reinvestment_rate))</f>
        <v>9.811105898289707E-4</v>
      </c>
      <c r="AV8" s="290">
        <f t="shared" ca="1" si="9"/>
        <v>1.1837065451620665E-2</v>
      </c>
      <c r="AW8" s="172"/>
      <c r="AX8" s="152">
        <f t="shared" si="10"/>
        <v>70612.993500679295</v>
      </c>
      <c r="AY8" s="295" t="str">
        <f>IF(AND(B8=$BA$4,OR(down_payment&lt;=0,purchase_date="")),"N/A",IF(B8=$BA$4,XIRR(AX$4:AX8,A$4:A8),""))</f>
        <v/>
      </c>
      <c r="AZ8" s="173" t="s">
        <v>56</v>
      </c>
      <c r="BA8" s="293">
        <f ca="1">IF(down_payment&lt;=0,"N/A",((1+$BA$6)^12)-1)</f>
        <v>0.15238951670537082</v>
      </c>
    </row>
    <row r="9" spans="1:53">
      <c r="A9" s="137">
        <f t="shared" si="21"/>
        <v>40313</v>
      </c>
      <c r="B9" s="138">
        <f t="shared" si="11"/>
        <v>5</v>
      </c>
      <c r="C9" s="139">
        <f>C8+(C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9" s="139">
        <f t="shared" si="0"/>
        <v>8000</v>
      </c>
      <c r="E9" s="140">
        <f t="shared" si="12"/>
        <v>152000</v>
      </c>
      <c r="F9" s="141"/>
      <c r="G9" s="157">
        <f>IF(Input!$I$7="",0,IF(B9=Input!$I$7,Input!$I$6,IF(B9=Input!$I$7+12,Input!$I$6*(1+annual_incr_proptax),IF(B9=Input!$I$7+24,Input!$I$6*(1+annual_incr_proptax)^2,IF(B9=Input!$I$7+36,Input!$I$6*(1+annual_incr_proptax)^3,IF(B9=Input!$I$7+48,Input!$I$6*(1+annual_incr_proptax)^4,IF(B9=Input!$I$7+60,Input!$I$6*(1+annual_incr_proptax)^5,IF(B9=Input!$I$7+72,Input!$I$6*(1+annual_incr_proptax)^6,IF(B9=Input!$I$7+84,Input!$I$6*(1+annual_incr_proptax)^7,IF(B9=Input!$I$7+96,Input!$I$6*(1+annual_incr_proptax)^8,IF(B9=Input!$I$7+108,Input!$I$6*(1+annual_incr_proptax)^9,IF(B9=Input!$I$7+120,Input!$I$6*(1+annual_incr_proptax)^10,0))))))))))))</f>
        <v>0</v>
      </c>
      <c r="H9" s="139">
        <f>IF(Input!$I$10="",0,IF(B9=Input!$I$10,Input!$I$9,IF(B9=Input!$I$10+12,Input!$I$9*(1+annual_incr_ins),IF(B9=Input!$I$10+24,Input!$I$9*(1+annual_incr_ins)^2,IF(B9=Input!$I$10+36,Input!$I$9*(1+annual_incr_ins)^3,IF(B9=Input!$I$10+48,Input!$I$9*(1+annual_incr_ins)^4,IF(B9=Input!$I$10+60,Input!$I$9*(1+annual_incr_ins)^5,IF(B9=Input!$I$10+72,Input!$I$9*(1+annual_incr_ins)^6,IF(B9=Input!$I$10+84,Input!$I$9*(1+annual_incr_ins)^7,IF(B9=Input!$I$10+96,Input!$I$9*(1+annual_incr_ins)^8,IF(B9=Input!$I$10+108,Input!$I$9*(1+annual_incr_ins)^9,IF(B9=Input!$I$10+120,Input!$I$9*(1+annual_incr_ins)^10,0))))))))))))</f>
        <v>0</v>
      </c>
      <c r="I9" s="139">
        <f>IF(OR(Input!$I$13="",B9&lt;Input!$I$13),0,IF(AND(B9&gt;=Input!$I$13,B9&lt;Input!$I$13+12),Input!$I$12,IF(B9=Input!$I$13+12,Input!$I$12*(1+annual_incr_util),IF(B9=Input!$I$13+24,Input!$I$12*(1+annual_incr_util)^2,IF(B9=Input!$I$13+36,Input!$I$12*(1+annual_incr_util)^3,IF(B9=Input!$I$13+48,Input!$I$12*(1+annual_incr_util)^4,IF(B9=Input!$I$13+60,Input!$I$12*(1+annual_incr_util)^5,IF(B9=Input!$I$13+72,Input!$I$12*(1+annual_incr_util)^6,IF(B9=Input!$I$13+84,Input!$I$12*(1+annual_incr_util)^7,IF(B9=Input!$I$13+96,Input!$I$12*(1+annual_incr_util)^8,IF(B9=Input!$I$13+108,Input!$I$12*(1+annual_incr_util)^9,IF(B9=Input!$I$13+120,Input!$I$12*(1+annual_incr_util)^10,I8))))))))))))</f>
        <v>450</v>
      </c>
      <c r="J9" s="139">
        <f>IF(Input!$I$16="",0,IF(B9=Input!$I$16,Input!$I$15,IF(B9=Input!$I$16+12,Input!$I$15*(1+annual_incr_advtg),IF(B9=Input!$I$16+24,Input!$I$15*(1+annual_incr_advtg)^2,IF(B9=Input!$I$16+36,Input!$I$15*(1+annual_incr_advtg)^3,IF(B9=Input!$I$16+48,Input!$I$15*(1+annual_incr_advtg)^4,IF(B9=Input!$I$16+60,Input!$I$15*(1+annual_incr_advtg)^5,IF(B9=Input!$I$16+72,Input!$I$15*(1+annual_incr_advtg)^6,IF(B9=Input!$I$16+84,Input!$I$15*(1+annual_incr_advtg)^7,IF(B9=Input!$I$16+96,Input!$I$15*(1+annual_incr_advtg)^8,IF(B9=Input!$I$16+108,Input!$I$15*(1+annual_incr_advtg)^9,IF(B9=Input!$I$16+120,Input!$I$15*(1+annual_incr_advtg)^10,0))))))))))))</f>
        <v>0</v>
      </c>
      <c r="K9" s="139">
        <f>IF(Input!$I$19="",0,IF(B9=Input!$I$19,Input!$I$18,IF(B9=Input!$I$19+12,Input!$I$18*(1+annual_incr_other1),IF(B9=Input!$I$19+24,Input!$I$18*(1+annual_incr_other1)^2,IF(B9=Input!$I$19+36,Input!$I$18*(1+annual_incr_other1)^3,IF(B9=Input!$I$19+48,Input!$I$18*(1+annual_incr_other1)^4,IF(B9=Input!$I$19+60,Input!$I$18*(1+annual_incr_other1)^5,IF(B9=Input!$I$19+72,Input!$I$18*(1+annual_incr_other1)^6,IF(B9=Input!$I$19+84,Input!$I$18*(1+annual_incr_other1)^7,IF(B9=Input!$I$19+96,Input!$I$18*(1+annual_incr_other1)^8,IF(B9=Input!$I$19+108,Input!$I$18*(1+annual_incr_other1)^9,IF(B9=Input!$I$19+120,Input!$I$18*(1+annual_incr_other1)^10,0))))))))))))</f>
        <v>4500</v>
      </c>
      <c r="L9" s="156">
        <f>IF(OR(Input!$I$22="",B9&lt;Input!$I$22),0,IF(AND(B9&gt;=Input!$I$22,B9&lt;Input!$I$22+12),Input!$I$21,IF(B9=Input!$I$22+12,Input!$I$21*(1+annual_incr_other2),IF(B9=Input!$I$22+24,Input!$I$21*(1+annual_incr_other2)^2,IF(B9=Input!$I$22+36,Input!$I$21*(1+annual_incr_other2)^3,IF(B9=Input!$I$22+48,Input!$I$21*(1+annual_incr_other2)^4,IF(B9=Input!$I$22+60,Input!$I$21*(1+annual_incr_other2)^5,IF(B9=Input!$I$22+72,Input!$I$21*(1+annual_incr_other2)^6,IF(B9=Input!$I$22+84,Input!$I$21*(1+annual_incr_other2)^7,IF(B9=Input!$I$22+96,Input!$I$21*(1+annual_incr_other2)^8,IF(B9=Input!$I$22+108,Input!$I$21*(1+annual_incr_other2)^9,IF(B9=Input!$I$22+120,Input!$I$21*(1+annual_incr_other2)^10,L8))))))))))))</f>
        <v>550</v>
      </c>
      <c r="M9" s="139">
        <f>IF(OR(Input!$I$27="",B9&lt;Input!$I$27),0,E9*mgmt_fee)</f>
        <v>1368</v>
      </c>
      <c r="N9" s="139">
        <f>IF(OR(Input!$I$29="",B9&lt;Input!$I$29),0,E9*repairs_maint)</f>
        <v>1672</v>
      </c>
      <c r="O9" s="149">
        <f>IF(Input!$I$31="",0,IF(OR(B9=Input!$I$31,B9=Input!$I$31+12,B9=Input!$I$31+24,B9=Input!$I$31+36,B9=Input!$I$31+48,B9=Input!$I$31+60,B9=Input!$I$31+72,B9=Input!$I$31+84,B9=Input!$I$31+96,B9=Input!$I$31+108,B9=Input!$I$31+120),E9*other_3,0))</f>
        <v>0</v>
      </c>
      <c r="P9" s="158">
        <f t="shared" si="13"/>
        <v>8540</v>
      </c>
      <c r="Q9" s="159">
        <f t="shared" si="14"/>
        <v>143460</v>
      </c>
      <c r="R9" s="160"/>
      <c r="S9" s="161">
        <f>IF(AND(leveraged_property,B9&lt;=amort_period),-IPMT(interest_rate/12,B9,amort_period,loan_amount),0)</f>
        <v>43349.716751347798</v>
      </c>
      <c r="T9" s="149">
        <f t="shared" si="15"/>
        <v>10590.238376617432</v>
      </c>
      <c r="U9" s="149">
        <f>IF(AND(leveraged_property,B9&lt;=amort_period),-PMT(interest_rate/12,amort_period,loan_amount),0)</f>
        <v>53939.95512796523</v>
      </c>
      <c r="V9" s="149">
        <f t="shared" si="16"/>
        <v>9447529.7800992634</v>
      </c>
      <c r="W9" s="160"/>
      <c r="X9" s="149">
        <f t="shared" si="17"/>
        <v>86250</v>
      </c>
      <c r="Y9" s="162">
        <f t="shared" si="18"/>
        <v>20286000</v>
      </c>
      <c r="Z9" s="156">
        <f t="shared" si="1"/>
        <v>20359816.800000001</v>
      </c>
      <c r="AA9" s="163">
        <f t="shared" ca="1" si="2"/>
        <v>20359816.800000001</v>
      </c>
      <c r="AB9" s="160"/>
      <c r="AC9" s="164">
        <f>Input!$C$25/12</f>
        <v>26538.461538461535</v>
      </c>
      <c r="AD9" s="139">
        <f t="shared" si="3"/>
        <v>73571.821710190678</v>
      </c>
      <c r="AE9" s="149">
        <f t="shared" si="4"/>
        <v>22071.546513057201</v>
      </c>
      <c r="AF9" s="139">
        <f ca="1">IF(AA9=0,0,AA9-(total_initial_cost-SUM($AC$5:AC9)))</f>
        <v>-207490.89230769128</v>
      </c>
      <c r="AG9" s="139">
        <f t="shared" ca="1" si="5"/>
        <v>-41498.178461538257</v>
      </c>
      <c r="AH9" s="149">
        <f t="shared" ca="1" si="19"/>
        <v>20401314.978461538</v>
      </c>
      <c r="AI9" s="160"/>
      <c r="AJ9" s="165">
        <f t="shared" ca="1" si="6"/>
        <v>-298685.02153846249</v>
      </c>
      <c r="AK9" s="165"/>
      <c r="AL9" s="166"/>
      <c r="AM9" s="167"/>
      <c r="AN9" s="168"/>
      <c r="AO9" s="169"/>
      <c r="AP9" s="132"/>
      <c r="AQ9" s="149">
        <f t="shared" si="20"/>
        <v>89520.044872034778</v>
      </c>
      <c r="AR9" s="149">
        <f t="shared" ca="1" si="7"/>
        <v>11001807.064772772</v>
      </c>
      <c r="AS9" s="288">
        <f ca="1">IF(down_payment&lt;=0,"N/A",IRR(($AQ$4:AQ8,AR9),))</f>
        <v>2.4232734728050114E-3</v>
      </c>
      <c r="AT9" s="290">
        <f t="shared" ca="1" si="8"/>
        <v>2.9469998211868242E-2</v>
      </c>
      <c r="AU9" s="288">
        <f ca="1">IF(down_payment&lt;=0,"N/A",MIRR(($AQ$4:AQ8,AR9),finance_rate,reinvestment_rate))</f>
        <v>2.606476796600754E-3</v>
      </c>
      <c r="AV9" s="290">
        <f t="shared" ca="1" si="9"/>
        <v>3.1730025795469796E-2</v>
      </c>
      <c r="AW9" s="172"/>
      <c r="AX9" s="152">
        <f t="shared" si="10"/>
        <v>67448.49835897758</v>
      </c>
      <c r="AY9" s="295" t="str">
        <f>IF(AND(B9=$BA$4,OR(down_payment&lt;=0,purchase_date="")),"N/A",IF(B9=$BA$4,XIRR(AX$4:AX9,A$4:A9),""))</f>
        <v/>
      </c>
      <c r="AZ9" s="170"/>
      <c r="BA9" s="174"/>
    </row>
    <row r="10" spans="1:53">
      <c r="A10" s="137">
        <f t="shared" si="21"/>
        <v>40344</v>
      </c>
      <c r="B10" s="138">
        <f t="shared" si="11"/>
        <v>6</v>
      </c>
      <c r="C10" s="139">
        <f>C9+(C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0" s="139">
        <f t="shared" si="0"/>
        <v>8000</v>
      </c>
      <c r="E10" s="140">
        <f t="shared" si="12"/>
        <v>152000</v>
      </c>
      <c r="F10" s="141"/>
      <c r="G10" s="157">
        <f>IF(Input!$I$7="",0,IF(B10=Input!$I$7,Input!$I$6,IF(B10=Input!$I$7+12,Input!$I$6*(1+annual_incr_proptax),IF(B10=Input!$I$7+24,Input!$I$6*(1+annual_incr_proptax)^2,IF(B10=Input!$I$7+36,Input!$I$6*(1+annual_incr_proptax)^3,IF(B10=Input!$I$7+48,Input!$I$6*(1+annual_incr_proptax)^4,IF(B10=Input!$I$7+60,Input!$I$6*(1+annual_incr_proptax)^5,IF(B10=Input!$I$7+72,Input!$I$6*(1+annual_incr_proptax)^6,IF(B10=Input!$I$7+84,Input!$I$6*(1+annual_incr_proptax)^7,IF(B10=Input!$I$7+96,Input!$I$6*(1+annual_incr_proptax)^8,IF(B10=Input!$I$7+108,Input!$I$6*(1+annual_incr_proptax)^9,IF(B10=Input!$I$7+120,Input!$I$6*(1+annual_incr_proptax)^10,0))))))))))))</f>
        <v>0</v>
      </c>
      <c r="H10" s="139">
        <f>IF(Input!$I$10="",0,IF(B10=Input!$I$10,Input!$I$9,IF(B10=Input!$I$10+12,Input!$I$9*(1+annual_incr_ins),IF(B10=Input!$I$10+24,Input!$I$9*(1+annual_incr_ins)^2,IF(B10=Input!$I$10+36,Input!$I$9*(1+annual_incr_ins)^3,IF(B10=Input!$I$10+48,Input!$I$9*(1+annual_incr_ins)^4,IF(B10=Input!$I$10+60,Input!$I$9*(1+annual_incr_ins)^5,IF(B10=Input!$I$10+72,Input!$I$9*(1+annual_incr_ins)^6,IF(B10=Input!$I$10+84,Input!$I$9*(1+annual_incr_ins)^7,IF(B10=Input!$I$10+96,Input!$I$9*(1+annual_incr_ins)^8,IF(B10=Input!$I$10+108,Input!$I$9*(1+annual_incr_ins)^9,IF(B10=Input!$I$10+120,Input!$I$9*(1+annual_incr_ins)^10,0))))))))))))</f>
        <v>12000</v>
      </c>
      <c r="I10" s="139">
        <f>IF(OR(Input!$I$13="",B10&lt;Input!$I$13),0,IF(AND(B10&gt;=Input!$I$13,B10&lt;Input!$I$13+12),Input!$I$12,IF(B10=Input!$I$13+12,Input!$I$12*(1+annual_incr_util),IF(B10=Input!$I$13+24,Input!$I$12*(1+annual_incr_util)^2,IF(B10=Input!$I$13+36,Input!$I$12*(1+annual_incr_util)^3,IF(B10=Input!$I$13+48,Input!$I$12*(1+annual_incr_util)^4,IF(B10=Input!$I$13+60,Input!$I$12*(1+annual_incr_util)^5,IF(B10=Input!$I$13+72,Input!$I$12*(1+annual_incr_util)^6,IF(B10=Input!$I$13+84,Input!$I$12*(1+annual_incr_util)^7,IF(B10=Input!$I$13+96,Input!$I$12*(1+annual_incr_util)^8,IF(B10=Input!$I$13+108,Input!$I$12*(1+annual_incr_util)^9,IF(B10=Input!$I$13+120,Input!$I$12*(1+annual_incr_util)^10,I9))))))))))))</f>
        <v>450</v>
      </c>
      <c r="J10" s="139">
        <f>IF(Input!$I$16="",0,IF(B10=Input!$I$16,Input!$I$15,IF(B10=Input!$I$16+12,Input!$I$15*(1+annual_incr_advtg),IF(B10=Input!$I$16+24,Input!$I$15*(1+annual_incr_advtg)^2,IF(B10=Input!$I$16+36,Input!$I$15*(1+annual_incr_advtg)^3,IF(B10=Input!$I$16+48,Input!$I$15*(1+annual_incr_advtg)^4,IF(B10=Input!$I$16+60,Input!$I$15*(1+annual_incr_advtg)^5,IF(B10=Input!$I$16+72,Input!$I$15*(1+annual_incr_advtg)^6,IF(B10=Input!$I$16+84,Input!$I$15*(1+annual_incr_advtg)^7,IF(B10=Input!$I$16+96,Input!$I$15*(1+annual_incr_advtg)^8,IF(B10=Input!$I$16+108,Input!$I$15*(1+annual_incr_advtg)^9,IF(B10=Input!$I$16+120,Input!$I$15*(1+annual_incr_advtg)^10,0))))))))))))</f>
        <v>0</v>
      </c>
      <c r="K10" s="139">
        <f>IF(Input!$I$19="",0,IF(B10=Input!$I$19,Input!$I$18,IF(B10=Input!$I$19+12,Input!$I$18*(1+annual_incr_other1),IF(B10=Input!$I$19+24,Input!$I$18*(1+annual_incr_other1)^2,IF(B10=Input!$I$19+36,Input!$I$18*(1+annual_incr_other1)^3,IF(B10=Input!$I$19+48,Input!$I$18*(1+annual_incr_other1)^4,IF(B10=Input!$I$19+60,Input!$I$18*(1+annual_incr_other1)^5,IF(B10=Input!$I$19+72,Input!$I$18*(1+annual_incr_other1)^6,IF(B10=Input!$I$19+84,Input!$I$18*(1+annual_incr_other1)^7,IF(B10=Input!$I$19+96,Input!$I$18*(1+annual_incr_other1)^8,IF(B10=Input!$I$19+108,Input!$I$18*(1+annual_incr_other1)^9,IF(B10=Input!$I$19+120,Input!$I$18*(1+annual_incr_other1)^10,0))))))))))))</f>
        <v>0</v>
      </c>
      <c r="L10" s="156">
        <f>IF(OR(Input!$I$22="",B10&lt;Input!$I$22),0,IF(AND(B10&gt;=Input!$I$22,B10&lt;Input!$I$22+12),Input!$I$21,IF(B10=Input!$I$22+12,Input!$I$21*(1+annual_incr_other2),IF(B10=Input!$I$22+24,Input!$I$21*(1+annual_incr_other2)^2,IF(B10=Input!$I$22+36,Input!$I$21*(1+annual_incr_other2)^3,IF(B10=Input!$I$22+48,Input!$I$21*(1+annual_incr_other2)^4,IF(B10=Input!$I$22+60,Input!$I$21*(1+annual_incr_other2)^5,IF(B10=Input!$I$22+72,Input!$I$21*(1+annual_incr_other2)^6,IF(B10=Input!$I$22+84,Input!$I$21*(1+annual_incr_other2)^7,IF(B10=Input!$I$22+96,Input!$I$21*(1+annual_incr_other2)^8,IF(B10=Input!$I$22+108,Input!$I$21*(1+annual_incr_other2)^9,IF(B10=Input!$I$22+120,Input!$I$21*(1+annual_incr_other2)^10,L9))))))))))))</f>
        <v>550</v>
      </c>
      <c r="M10" s="139">
        <f>IF(OR(Input!$I$27="",B10&lt;Input!$I$27),0,E10*mgmt_fee)</f>
        <v>1368</v>
      </c>
      <c r="N10" s="139">
        <f>IF(OR(Input!$I$29="",B10&lt;Input!$I$29),0,E10*repairs_maint)</f>
        <v>1672</v>
      </c>
      <c r="O10" s="149">
        <f>IF(Input!$I$31="",0,IF(OR(B10=Input!$I$31,B10=Input!$I$31+12,B10=Input!$I$31+24,B10=Input!$I$31+36,B10=Input!$I$31+48,B10=Input!$I$31+60,B10=Input!$I$31+72,B10=Input!$I$31+84,B10=Input!$I$31+96,B10=Input!$I$31+108,B10=Input!$I$31+120),E10*other_3,0))</f>
        <v>0</v>
      </c>
      <c r="P10" s="158">
        <f t="shared" si="13"/>
        <v>16040</v>
      </c>
      <c r="Q10" s="159">
        <f t="shared" si="14"/>
        <v>135960</v>
      </c>
      <c r="R10" s="160"/>
      <c r="S10" s="161">
        <f>IF(AND(leveraged_property,B10&lt;=amort_period),-IPMT(interest_rate/12,B10,amort_period,loan_amount),0)</f>
        <v>43301.178158788294</v>
      </c>
      <c r="T10" s="149">
        <f t="shared" si="15"/>
        <v>10638.776969176935</v>
      </c>
      <c r="U10" s="149">
        <f>IF(AND(leveraged_property,B10&lt;=amort_period),-PMT(interest_rate/12,amort_period,loan_amount),0)</f>
        <v>53939.95512796523</v>
      </c>
      <c r="V10" s="149">
        <f t="shared" si="16"/>
        <v>9436891.0031300858</v>
      </c>
      <c r="W10" s="160"/>
      <c r="X10" s="149">
        <f t="shared" si="17"/>
        <v>86250</v>
      </c>
      <c r="Y10" s="162">
        <f t="shared" si="18"/>
        <v>20368800</v>
      </c>
      <c r="Z10" s="156">
        <f t="shared" si="1"/>
        <v>20355516.300000001</v>
      </c>
      <c r="AA10" s="163">
        <f t="shared" ca="1" si="2"/>
        <v>20355516.300000001</v>
      </c>
      <c r="AB10" s="160"/>
      <c r="AC10" s="164">
        <f>Input!$C$25/12</f>
        <v>26538.461538461535</v>
      </c>
      <c r="AD10" s="139">
        <f t="shared" si="3"/>
        <v>66120.360302750167</v>
      </c>
      <c r="AE10" s="149">
        <f t="shared" si="4"/>
        <v>19836.108090825048</v>
      </c>
      <c r="AF10" s="139">
        <f ca="1">IF(AA10=0,0,AA10-(total_initial_cost-SUM($AC$5:AC10)))</f>
        <v>-185252.93076923117</v>
      </c>
      <c r="AG10" s="139">
        <f t="shared" ca="1" si="5"/>
        <v>-37050.586153846234</v>
      </c>
      <c r="AH10" s="149">
        <f t="shared" ca="1" si="19"/>
        <v>20392566.886153847</v>
      </c>
      <c r="AI10" s="160"/>
      <c r="AJ10" s="165">
        <f t="shared" ca="1" si="6"/>
        <v>-307433.11384615302</v>
      </c>
      <c r="AK10" s="165"/>
      <c r="AL10" s="166"/>
      <c r="AM10" s="167"/>
      <c r="AN10" s="168"/>
      <c r="AO10" s="169"/>
      <c r="AP10" s="132"/>
      <c r="AQ10" s="149">
        <f t="shared" si="20"/>
        <v>82020.044872034778</v>
      </c>
      <c r="AR10" s="149">
        <f t="shared" ca="1" si="7"/>
        <v>11000645.341741949</v>
      </c>
      <c r="AS10" s="288">
        <f ca="1">IF(down_payment&lt;=0,"N/A",IRR(($AQ$4:AQ9,AR10),))</f>
        <v>3.3482863325517884E-3</v>
      </c>
      <c r="AT10" s="290">
        <f t="shared" ca="1" si="8"/>
        <v>4.0927684246482743E-2</v>
      </c>
      <c r="AU10" s="288">
        <f ca="1">IF(down_payment&lt;=0,"N/A",MIRR(($AQ$4:AQ9,AR10),finance_rate,reinvestment_rate))</f>
        <v>3.5633504033607544E-3</v>
      </c>
      <c r="AV10" s="290">
        <f t="shared" ca="1" si="9"/>
        <v>4.3608271880945404E-2</v>
      </c>
      <c r="AW10" s="172"/>
      <c r="AX10" s="152">
        <f t="shared" si="10"/>
        <v>62183.936781209733</v>
      </c>
      <c r="AY10" s="295" t="str">
        <f>IF(AND(B10=$BA$4,OR(down_payment&lt;=0,purchase_date="")),"N/A",IF(B10=$BA$4,XIRR(AX$4:AX10,A$4:A10),""))</f>
        <v/>
      </c>
      <c r="AZ10" s="173" t="s">
        <v>64</v>
      </c>
      <c r="BA10" s="292">
        <f ca="1">IF(down_payment&lt;=0,"N/A",MIRR($AX$4:$AX$124,finance_rate*(1-income_tax),reinvestment_rate*(1-income_tax)))</f>
        <v>1.1765650113164217E-2</v>
      </c>
    </row>
    <row r="11" spans="1:53">
      <c r="A11" s="137">
        <f t="shared" si="21"/>
        <v>40374</v>
      </c>
      <c r="B11" s="138">
        <f t="shared" si="11"/>
        <v>7</v>
      </c>
      <c r="C11" s="139">
        <f>C10+(C10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1" s="139">
        <f t="shared" si="0"/>
        <v>8000</v>
      </c>
      <c r="E11" s="140">
        <f t="shared" si="12"/>
        <v>152000</v>
      </c>
      <c r="F11" s="141"/>
      <c r="G11" s="157">
        <f>IF(Input!$I$7="",0,IF(B11=Input!$I$7,Input!$I$6,IF(B11=Input!$I$7+12,Input!$I$6*(1+annual_incr_proptax),IF(B11=Input!$I$7+24,Input!$I$6*(1+annual_incr_proptax)^2,IF(B11=Input!$I$7+36,Input!$I$6*(1+annual_incr_proptax)^3,IF(B11=Input!$I$7+48,Input!$I$6*(1+annual_incr_proptax)^4,IF(B11=Input!$I$7+60,Input!$I$6*(1+annual_incr_proptax)^5,IF(B11=Input!$I$7+72,Input!$I$6*(1+annual_incr_proptax)^6,IF(B11=Input!$I$7+84,Input!$I$6*(1+annual_incr_proptax)^7,IF(B11=Input!$I$7+96,Input!$I$6*(1+annual_incr_proptax)^8,IF(B11=Input!$I$7+108,Input!$I$6*(1+annual_incr_proptax)^9,IF(B11=Input!$I$7+120,Input!$I$6*(1+annual_incr_proptax)^10,0))))))))))))</f>
        <v>0</v>
      </c>
      <c r="H11" s="139">
        <f>IF(Input!$I$10="",0,IF(B11=Input!$I$10,Input!$I$9,IF(B11=Input!$I$10+12,Input!$I$9*(1+annual_incr_ins),IF(B11=Input!$I$10+24,Input!$I$9*(1+annual_incr_ins)^2,IF(B11=Input!$I$10+36,Input!$I$9*(1+annual_incr_ins)^3,IF(B11=Input!$I$10+48,Input!$I$9*(1+annual_incr_ins)^4,IF(B11=Input!$I$10+60,Input!$I$9*(1+annual_incr_ins)^5,IF(B11=Input!$I$10+72,Input!$I$9*(1+annual_incr_ins)^6,IF(B11=Input!$I$10+84,Input!$I$9*(1+annual_incr_ins)^7,IF(B11=Input!$I$10+96,Input!$I$9*(1+annual_incr_ins)^8,IF(B11=Input!$I$10+108,Input!$I$9*(1+annual_incr_ins)^9,IF(B11=Input!$I$10+120,Input!$I$9*(1+annual_incr_ins)^10,0))))))))))))</f>
        <v>0</v>
      </c>
      <c r="I11" s="139">
        <f>IF(OR(Input!$I$13="",B11&lt;Input!$I$13),0,IF(AND(B11&gt;=Input!$I$13,B11&lt;Input!$I$13+12),Input!$I$12,IF(B11=Input!$I$13+12,Input!$I$12*(1+annual_incr_util),IF(B11=Input!$I$13+24,Input!$I$12*(1+annual_incr_util)^2,IF(B11=Input!$I$13+36,Input!$I$12*(1+annual_incr_util)^3,IF(B11=Input!$I$13+48,Input!$I$12*(1+annual_incr_util)^4,IF(B11=Input!$I$13+60,Input!$I$12*(1+annual_incr_util)^5,IF(B11=Input!$I$13+72,Input!$I$12*(1+annual_incr_util)^6,IF(B11=Input!$I$13+84,Input!$I$12*(1+annual_incr_util)^7,IF(B11=Input!$I$13+96,Input!$I$12*(1+annual_incr_util)^8,IF(B11=Input!$I$13+108,Input!$I$12*(1+annual_incr_util)^9,IF(B11=Input!$I$13+120,Input!$I$12*(1+annual_incr_util)^10,I10))))))))))))</f>
        <v>450</v>
      </c>
      <c r="J11" s="139">
        <f>IF(Input!$I$16="",0,IF(B11=Input!$I$16,Input!$I$15,IF(B11=Input!$I$16+12,Input!$I$15*(1+annual_incr_advtg),IF(B11=Input!$I$16+24,Input!$I$15*(1+annual_incr_advtg)^2,IF(B11=Input!$I$16+36,Input!$I$15*(1+annual_incr_advtg)^3,IF(B11=Input!$I$16+48,Input!$I$15*(1+annual_incr_advtg)^4,IF(B11=Input!$I$16+60,Input!$I$15*(1+annual_incr_advtg)^5,IF(B11=Input!$I$16+72,Input!$I$15*(1+annual_incr_advtg)^6,IF(B11=Input!$I$16+84,Input!$I$15*(1+annual_incr_advtg)^7,IF(B11=Input!$I$16+96,Input!$I$15*(1+annual_incr_advtg)^8,IF(B11=Input!$I$16+108,Input!$I$15*(1+annual_incr_advtg)^9,IF(B11=Input!$I$16+120,Input!$I$15*(1+annual_incr_advtg)^10,0))))))))))))</f>
        <v>11500</v>
      </c>
      <c r="K11" s="139">
        <f>IF(Input!$I$19="",0,IF(B11=Input!$I$19,Input!$I$18,IF(B11=Input!$I$19+12,Input!$I$18*(1+annual_incr_other1),IF(B11=Input!$I$19+24,Input!$I$18*(1+annual_incr_other1)^2,IF(B11=Input!$I$19+36,Input!$I$18*(1+annual_incr_other1)^3,IF(B11=Input!$I$19+48,Input!$I$18*(1+annual_incr_other1)^4,IF(B11=Input!$I$19+60,Input!$I$18*(1+annual_incr_other1)^5,IF(B11=Input!$I$19+72,Input!$I$18*(1+annual_incr_other1)^6,IF(B11=Input!$I$19+84,Input!$I$18*(1+annual_incr_other1)^7,IF(B11=Input!$I$19+96,Input!$I$18*(1+annual_incr_other1)^8,IF(B11=Input!$I$19+108,Input!$I$18*(1+annual_incr_other1)^9,IF(B11=Input!$I$19+120,Input!$I$18*(1+annual_incr_other1)^10,0))))))))))))</f>
        <v>0</v>
      </c>
      <c r="L11" s="156">
        <f>IF(OR(Input!$I$22="",B11&lt;Input!$I$22),0,IF(AND(B11&gt;=Input!$I$22,B11&lt;Input!$I$22+12),Input!$I$21,IF(B11=Input!$I$22+12,Input!$I$21*(1+annual_incr_other2),IF(B11=Input!$I$22+24,Input!$I$21*(1+annual_incr_other2)^2,IF(B11=Input!$I$22+36,Input!$I$21*(1+annual_incr_other2)^3,IF(B11=Input!$I$22+48,Input!$I$21*(1+annual_incr_other2)^4,IF(B11=Input!$I$22+60,Input!$I$21*(1+annual_incr_other2)^5,IF(B11=Input!$I$22+72,Input!$I$21*(1+annual_incr_other2)^6,IF(B11=Input!$I$22+84,Input!$I$21*(1+annual_incr_other2)^7,IF(B11=Input!$I$22+96,Input!$I$21*(1+annual_incr_other2)^8,IF(B11=Input!$I$22+108,Input!$I$21*(1+annual_incr_other2)^9,IF(B11=Input!$I$22+120,Input!$I$21*(1+annual_incr_other2)^10,L10))))))))))))</f>
        <v>550</v>
      </c>
      <c r="M11" s="139">
        <f>IF(OR(Input!$I$27="",B11&lt;Input!$I$27),0,E11*mgmt_fee)</f>
        <v>1368</v>
      </c>
      <c r="N11" s="139">
        <f>IF(OR(Input!$I$29="",B11&lt;Input!$I$29),0,E11*repairs_maint)</f>
        <v>1672</v>
      </c>
      <c r="O11" s="149">
        <f>IF(Input!$I$31="",0,IF(OR(B11=Input!$I$31,B11=Input!$I$31+12,B11=Input!$I$31+24,B11=Input!$I$31+36,B11=Input!$I$31+48,B11=Input!$I$31+60,B11=Input!$I$31+72,B11=Input!$I$31+84,B11=Input!$I$31+96,B11=Input!$I$31+108,B11=Input!$I$31+120),E11*other_3,0))</f>
        <v>0</v>
      </c>
      <c r="P11" s="158">
        <f t="shared" si="13"/>
        <v>15540</v>
      </c>
      <c r="Q11" s="159">
        <f t="shared" si="14"/>
        <v>136460</v>
      </c>
      <c r="R11" s="160"/>
      <c r="S11" s="161">
        <f>IF(AND(leveraged_property,B11&lt;=amort_period),-IPMT(interest_rate/12,B11,amort_period,loan_amount),0)</f>
        <v>43252.417097679565</v>
      </c>
      <c r="T11" s="149">
        <f t="shared" si="15"/>
        <v>10687.538030285665</v>
      </c>
      <c r="U11" s="149">
        <f>IF(AND(leveraged_property,B11&lt;=amort_period),-PMT(interest_rate/12,amort_period,loan_amount),0)</f>
        <v>53939.95512796523</v>
      </c>
      <c r="V11" s="149">
        <f t="shared" si="16"/>
        <v>9426203.4650998004</v>
      </c>
      <c r="W11" s="160"/>
      <c r="X11" s="149">
        <f t="shared" si="17"/>
        <v>86250</v>
      </c>
      <c r="Y11" s="162">
        <f t="shared" si="18"/>
        <v>20451600</v>
      </c>
      <c r="Z11" s="156">
        <f t="shared" si="1"/>
        <v>20347351.199999996</v>
      </c>
      <c r="AA11" s="163">
        <f t="shared" ca="1" si="2"/>
        <v>20347351.199999996</v>
      </c>
      <c r="AB11" s="160"/>
      <c r="AC11" s="164">
        <f>Input!$C$25/12</f>
        <v>26538.461538461535</v>
      </c>
      <c r="AD11" s="139">
        <f t="shared" si="3"/>
        <v>66669.121363858896</v>
      </c>
      <c r="AE11" s="149">
        <f t="shared" si="4"/>
        <v>20000.736409157667</v>
      </c>
      <c r="AF11" s="139">
        <f ca="1">IF(AA11=0,0,AA11-(total_initial_cost-SUM($AC$5:AC11)))</f>
        <v>-166879.56923077255</v>
      </c>
      <c r="AG11" s="139">
        <f t="shared" ca="1" si="5"/>
        <v>-33375.913846154515</v>
      </c>
      <c r="AH11" s="149">
        <f t="shared" ca="1" si="19"/>
        <v>20380727.113846149</v>
      </c>
      <c r="AI11" s="103"/>
      <c r="AJ11" s="165">
        <f t="shared" ca="1" si="6"/>
        <v>-319272.8861538507</v>
      </c>
      <c r="AK11" s="165"/>
      <c r="AL11" s="166"/>
      <c r="AM11" s="167"/>
      <c r="AN11" s="168"/>
      <c r="AO11" s="169"/>
      <c r="AP11" s="132"/>
      <c r="AQ11" s="149">
        <f t="shared" si="20"/>
        <v>82520.044872034778</v>
      </c>
      <c r="AR11" s="149">
        <f t="shared" ca="1" si="7"/>
        <v>11003667.779772229</v>
      </c>
      <c r="AS11" s="288">
        <f ca="1">IF(down_payment&lt;=0,"N/A",IRR(($AQ$4:AQ10,AR11),))</f>
        <v>3.9668645019520655E-3</v>
      </c>
      <c r="AT11" s="290">
        <f t="shared" ca="1" si="8"/>
        <v>4.8654807280190226E-2</v>
      </c>
      <c r="AU11" s="288">
        <f ca="1">IF(down_payment&lt;=0,"N/A",MIRR(($AQ$4:AQ10,AR11),finance_rate,reinvestment_rate))</f>
        <v>4.2128048054634881E-3</v>
      </c>
      <c r="AV11" s="290">
        <f t="shared" ca="1" si="9"/>
        <v>5.1741613336990122E-2</v>
      </c>
      <c r="AW11" s="172"/>
      <c r="AX11" s="152">
        <f t="shared" si="10"/>
        <v>62519.30846287711</v>
      </c>
      <c r="AY11" s="295" t="str">
        <f>IF(AND(B11=$BA$4,OR(down_payment&lt;=0,purchase_date="")),"N/A",IF(B11=$BA$4,XIRR(AX$4:AX11,A$4:A11),""))</f>
        <v/>
      </c>
      <c r="AZ11" s="170"/>
      <c r="BA11" s="174"/>
    </row>
    <row r="12" spans="1:53" ht="12.75" thickBot="1">
      <c r="A12" s="137">
        <f t="shared" si="21"/>
        <v>40405</v>
      </c>
      <c r="B12" s="138">
        <f t="shared" si="11"/>
        <v>8</v>
      </c>
      <c r="C12" s="139">
        <f>C11+(C11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2" s="139">
        <f t="shared" si="0"/>
        <v>8000</v>
      </c>
      <c r="E12" s="140">
        <f t="shared" si="12"/>
        <v>152000</v>
      </c>
      <c r="F12" s="141"/>
      <c r="G12" s="157">
        <f>IF(Input!$I$7="",0,IF(B12=Input!$I$7,Input!$I$6,IF(B12=Input!$I$7+12,Input!$I$6*(1+annual_incr_proptax),IF(B12=Input!$I$7+24,Input!$I$6*(1+annual_incr_proptax)^2,IF(B12=Input!$I$7+36,Input!$I$6*(1+annual_incr_proptax)^3,IF(B12=Input!$I$7+48,Input!$I$6*(1+annual_incr_proptax)^4,IF(B12=Input!$I$7+60,Input!$I$6*(1+annual_incr_proptax)^5,IF(B12=Input!$I$7+72,Input!$I$6*(1+annual_incr_proptax)^6,IF(B12=Input!$I$7+84,Input!$I$6*(1+annual_incr_proptax)^7,IF(B12=Input!$I$7+96,Input!$I$6*(1+annual_incr_proptax)^8,IF(B12=Input!$I$7+108,Input!$I$6*(1+annual_incr_proptax)^9,IF(B12=Input!$I$7+120,Input!$I$6*(1+annual_incr_proptax)^10,0))))))))))))</f>
        <v>0</v>
      </c>
      <c r="H12" s="139">
        <f>IF(Input!$I$10="",0,IF(B12=Input!$I$10,Input!$I$9,IF(B12=Input!$I$10+12,Input!$I$9*(1+annual_incr_ins),IF(B12=Input!$I$10+24,Input!$I$9*(1+annual_incr_ins)^2,IF(B12=Input!$I$10+36,Input!$I$9*(1+annual_incr_ins)^3,IF(B12=Input!$I$10+48,Input!$I$9*(1+annual_incr_ins)^4,IF(B12=Input!$I$10+60,Input!$I$9*(1+annual_incr_ins)^5,IF(B12=Input!$I$10+72,Input!$I$9*(1+annual_incr_ins)^6,IF(B12=Input!$I$10+84,Input!$I$9*(1+annual_incr_ins)^7,IF(B12=Input!$I$10+96,Input!$I$9*(1+annual_incr_ins)^8,IF(B12=Input!$I$10+108,Input!$I$9*(1+annual_incr_ins)^9,IF(B12=Input!$I$10+120,Input!$I$9*(1+annual_incr_ins)^10,0))))))))))))</f>
        <v>0</v>
      </c>
      <c r="I12" s="139">
        <f>IF(OR(Input!$I$13="",B12&lt;Input!$I$13),0,IF(AND(B12&gt;=Input!$I$13,B12&lt;Input!$I$13+12),Input!$I$12,IF(B12=Input!$I$13+12,Input!$I$12*(1+annual_incr_util),IF(B12=Input!$I$13+24,Input!$I$12*(1+annual_incr_util)^2,IF(B12=Input!$I$13+36,Input!$I$12*(1+annual_incr_util)^3,IF(B12=Input!$I$13+48,Input!$I$12*(1+annual_incr_util)^4,IF(B12=Input!$I$13+60,Input!$I$12*(1+annual_incr_util)^5,IF(B12=Input!$I$13+72,Input!$I$12*(1+annual_incr_util)^6,IF(B12=Input!$I$13+84,Input!$I$12*(1+annual_incr_util)^7,IF(B12=Input!$I$13+96,Input!$I$12*(1+annual_incr_util)^8,IF(B12=Input!$I$13+108,Input!$I$12*(1+annual_incr_util)^9,IF(B12=Input!$I$13+120,Input!$I$12*(1+annual_incr_util)^10,I11))))))))))))</f>
        <v>450</v>
      </c>
      <c r="J12" s="139">
        <f>IF(Input!$I$16="",0,IF(B12=Input!$I$16,Input!$I$15,IF(B12=Input!$I$16+12,Input!$I$15*(1+annual_incr_advtg),IF(B12=Input!$I$16+24,Input!$I$15*(1+annual_incr_advtg)^2,IF(B12=Input!$I$16+36,Input!$I$15*(1+annual_incr_advtg)^3,IF(B12=Input!$I$16+48,Input!$I$15*(1+annual_incr_advtg)^4,IF(B12=Input!$I$16+60,Input!$I$15*(1+annual_incr_advtg)^5,IF(B12=Input!$I$16+72,Input!$I$15*(1+annual_incr_advtg)^6,IF(B12=Input!$I$16+84,Input!$I$15*(1+annual_incr_advtg)^7,IF(B12=Input!$I$16+96,Input!$I$15*(1+annual_incr_advtg)^8,IF(B12=Input!$I$16+108,Input!$I$15*(1+annual_incr_advtg)^9,IF(B12=Input!$I$16+120,Input!$I$15*(1+annual_incr_advtg)^10,0))))))))))))</f>
        <v>0</v>
      </c>
      <c r="K12" s="139">
        <f>IF(Input!$I$19="",0,IF(B12=Input!$I$19,Input!$I$18,IF(B12=Input!$I$19+12,Input!$I$18*(1+annual_incr_other1),IF(B12=Input!$I$19+24,Input!$I$18*(1+annual_incr_other1)^2,IF(B12=Input!$I$19+36,Input!$I$18*(1+annual_incr_other1)^3,IF(B12=Input!$I$19+48,Input!$I$18*(1+annual_incr_other1)^4,IF(B12=Input!$I$19+60,Input!$I$18*(1+annual_incr_other1)^5,IF(B12=Input!$I$19+72,Input!$I$18*(1+annual_incr_other1)^6,IF(B12=Input!$I$19+84,Input!$I$18*(1+annual_incr_other1)^7,IF(B12=Input!$I$19+96,Input!$I$18*(1+annual_incr_other1)^8,IF(B12=Input!$I$19+108,Input!$I$18*(1+annual_incr_other1)^9,IF(B12=Input!$I$19+120,Input!$I$18*(1+annual_incr_other1)^10,0))))))))))))</f>
        <v>0</v>
      </c>
      <c r="L12" s="156">
        <f>IF(OR(Input!$I$22="",B12&lt;Input!$I$22),0,IF(AND(B12&gt;=Input!$I$22,B12&lt;Input!$I$22+12),Input!$I$21,IF(B12=Input!$I$22+12,Input!$I$21*(1+annual_incr_other2),IF(B12=Input!$I$22+24,Input!$I$21*(1+annual_incr_other2)^2,IF(B12=Input!$I$22+36,Input!$I$21*(1+annual_incr_other2)^3,IF(B12=Input!$I$22+48,Input!$I$21*(1+annual_incr_other2)^4,IF(B12=Input!$I$22+60,Input!$I$21*(1+annual_incr_other2)^5,IF(B12=Input!$I$22+72,Input!$I$21*(1+annual_incr_other2)^6,IF(B12=Input!$I$22+84,Input!$I$21*(1+annual_incr_other2)^7,IF(B12=Input!$I$22+96,Input!$I$21*(1+annual_incr_other2)^8,IF(B12=Input!$I$22+108,Input!$I$21*(1+annual_incr_other2)^9,IF(B12=Input!$I$22+120,Input!$I$21*(1+annual_incr_other2)^10,L11))))))))))))</f>
        <v>550</v>
      </c>
      <c r="M12" s="139">
        <f>IF(OR(Input!$I$27="",B12&lt;Input!$I$27),0,E12*mgmt_fee)</f>
        <v>1368</v>
      </c>
      <c r="N12" s="139">
        <f>IF(OR(Input!$I$29="",B12&lt;Input!$I$29),0,E12*repairs_maint)</f>
        <v>1672</v>
      </c>
      <c r="O12" s="149">
        <f>IF(Input!$I$31="",0,IF(OR(B12=Input!$I$31,B12=Input!$I$31+12,B12=Input!$I$31+24,B12=Input!$I$31+36,B12=Input!$I$31+48,B12=Input!$I$31+60,B12=Input!$I$31+72,B12=Input!$I$31+84,B12=Input!$I$31+96,B12=Input!$I$31+108,B12=Input!$I$31+120),E12*other_3,0))</f>
        <v>0</v>
      </c>
      <c r="P12" s="158">
        <f t="shared" si="13"/>
        <v>4040</v>
      </c>
      <c r="Q12" s="159">
        <f t="shared" si="14"/>
        <v>147960</v>
      </c>
      <c r="R12" s="160"/>
      <c r="S12" s="161">
        <f>IF(AND(leveraged_property,B12&lt;=amort_period),-IPMT(interest_rate/12,B12,amort_period,loan_amount),0)</f>
        <v>43203.43254837409</v>
      </c>
      <c r="T12" s="149">
        <f t="shared" si="15"/>
        <v>10736.522579591139</v>
      </c>
      <c r="U12" s="149">
        <f>IF(AND(leveraged_property,B12&lt;=amort_period),-PMT(interest_rate/12,amort_period,loan_amount),0)</f>
        <v>53939.95512796523</v>
      </c>
      <c r="V12" s="149">
        <f t="shared" si="16"/>
        <v>9415466.9425202087</v>
      </c>
      <c r="W12" s="160"/>
      <c r="X12" s="149">
        <f t="shared" si="17"/>
        <v>86250</v>
      </c>
      <c r="Y12" s="162">
        <f t="shared" si="18"/>
        <v>20534400</v>
      </c>
      <c r="Z12" s="156">
        <f t="shared" si="1"/>
        <v>20347010.699999996</v>
      </c>
      <c r="AA12" s="163">
        <f t="shared" ca="1" si="2"/>
        <v>20347010.699999996</v>
      </c>
      <c r="AB12" s="160"/>
      <c r="AC12" s="164">
        <f>Input!$C$25/12</f>
        <v>26538.461538461535</v>
      </c>
      <c r="AD12" s="139">
        <f t="shared" si="3"/>
        <v>78218.105913164385</v>
      </c>
      <c r="AE12" s="149">
        <f t="shared" si="4"/>
        <v>23465.431773949316</v>
      </c>
      <c r="AF12" s="139">
        <f ca="1">IF(AA12=0,0,AA12-(total_initial_cost-SUM($AC$5:AC12)))</f>
        <v>-140681.60769231245</v>
      </c>
      <c r="AG12" s="139">
        <f t="shared" ca="1" si="5"/>
        <v>-28136.321538462493</v>
      </c>
      <c r="AH12" s="149">
        <f t="shared" ca="1" si="19"/>
        <v>20375147.021538459</v>
      </c>
      <c r="AI12" s="103"/>
      <c r="AJ12" s="165">
        <f t="shared" ca="1" si="6"/>
        <v>-324852.97846154124</v>
      </c>
      <c r="AK12" s="165"/>
      <c r="AL12" s="166"/>
      <c r="AM12" s="167"/>
      <c r="AN12" s="168"/>
      <c r="AO12" s="169"/>
      <c r="AP12" s="132"/>
      <c r="AQ12" s="149">
        <f t="shared" si="20"/>
        <v>94020.044872034778</v>
      </c>
      <c r="AR12" s="149">
        <f t="shared" ca="1" si="7"/>
        <v>11025563.802351821</v>
      </c>
      <c r="AS12" s="288">
        <f ca="1">IF(down_payment&lt;=0,"N/A",IRR(($AQ$4:AQ11,AR12),))</f>
        <v>4.6458778273228566E-3</v>
      </c>
      <c r="AT12" s="290">
        <f t="shared" ca="1" si="8"/>
        <v>5.7197383235088273E-2</v>
      </c>
      <c r="AU12" s="288">
        <f ca="1">IF(down_payment&lt;=0,"N/A",MIRR(($AQ$4:AQ11,AR12),finance_rate,reinvestment_rate))</f>
        <v>4.9157454570327719E-3</v>
      </c>
      <c r="AV12" s="290">
        <f t="shared" ca="1" si="9"/>
        <v>6.0610230432938561E-2</v>
      </c>
      <c r="AW12" s="172"/>
      <c r="AX12" s="152">
        <f t="shared" si="10"/>
        <v>70554.613098085465</v>
      </c>
      <c r="AY12" s="295" t="str">
        <f>IF(AND(B12=$BA$4,OR(down_payment&lt;=0,purchase_date="")),"N/A",IF(B12=$BA$4,XIRR(AX$4:AX12,A$4:A12),""))</f>
        <v/>
      </c>
      <c r="AZ12" s="175" t="s">
        <v>66</v>
      </c>
      <c r="BA12" s="294">
        <f ca="1">IF(down_payment&lt;=0,"N/A",((1+$BA$10)^12)-1)</f>
        <v>0.15069220210349887</v>
      </c>
    </row>
    <row r="13" spans="1:53">
      <c r="A13" s="137">
        <f t="shared" si="21"/>
        <v>40436</v>
      </c>
      <c r="B13" s="138">
        <f t="shared" si="11"/>
        <v>9</v>
      </c>
      <c r="C13" s="139">
        <f>C12+(C12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3" s="139">
        <f t="shared" si="0"/>
        <v>8000</v>
      </c>
      <c r="E13" s="140">
        <f t="shared" si="12"/>
        <v>152000</v>
      </c>
      <c r="F13" s="141"/>
      <c r="G13" s="157">
        <f>IF(Input!$I$7="",0,IF(B13=Input!$I$7,Input!$I$6,IF(B13=Input!$I$7+12,Input!$I$6*(1+annual_incr_proptax),IF(B13=Input!$I$7+24,Input!$I$6*(1+annual_incr_proptax)^2,IF(B13=Input!$I$7+36,Input!$I$6*(1+annual_incr_proptax)^3,IF(B13=Input!$I$7+48,Input!$I$6*(1+annual_incr_proptax)^4,IF(B13=Input!$I$7+60,Input!$I$6*(1+annual_incr_proptax)^5,IF(B13=Input!$I$7+72,Input!$I$6*(1+annual_incr_proptax)^6,IF(B13=Input!$I$7+84,Input!$I$6*(1+annual_incr_proptax)^7,IF(B13=Input!$I$7+96,Input!$I$6*(1+annual_incr_proptax)^8,IF(B13=Input!$I$7+108,Input!$I$6*(1+annual_incr_proptax)^9,IF(B13=Input!$I$7+120,Input!$I$6*(1+annual_incr_proptax)^10,0))))))))))))</f>
        <v>0</v>
      </c>
      <c r="H13" s="139">
        <f>IF(Input!$I$10="",0,IF(B13=Input!$I$10,Input!$I$9,IF(B13=Input!$I$10+12,Input!$I$9*(1+annual_incr_ins),IF(B13=Input!$I$10+24,Input!$I$9*(1+annual_incr_ins)^2,IF(B13=Input!$I$10+36,Input!$I$9*(1+annual_incr_ins)^3,IF(B13=Input!$I$10+48,Input!$I$9*(1+annual_incr_ins)^4,IF(B13=Input!$I$10+60,Input!$I$9*(1+annual_incr_ins)^5,IF(B13=Input!$I$10+72,Input!$I$9*(1+annual_incr_ins)^6,IF(B13=Input!$I$10+84,Input!$I$9*(1+annual_incr_ins)^7,IF(B13=Input!$I$10+96,Input!$I$9*(1+annual_incr_ins)^8,IF(B13=Input!$I$10+108,Input!$I$9*(1+annual_incr_ins)^9,IF(B13=Input!$I$10+120,Input!$I$9*(1+annual_incr_ins)^10,0))))))))))))</f>
        <v>0</v>
      </c>
      <c r="I13" s="139">
        <f>IF(OR(Input!$I$13="",B13&lt;Input!$I$13),0,IF(AND(B13&gt;=Input!$I$13,B13&lt;Input!$I$13+12),Input!$I$12,IF(B13=Input!$I$13+12,Input!$I$12*(1+annual_incr_util),IF(B13=Input!$I$13+24,Input!$I$12*(1+annual_incr_util)^2,IF(B13=Input!$I$13+36,Input!$I$12*(1+annual_incr_util)^3,IF(B13=Input!$I$13+48,Input!$I$12*(1+annual_incr_util)^4,IF(B13=Input!$I$13+60,Input!$I$12*(1+annual_incr_util)^5,IF(B13=Input!$I$13+72,Input!$I$12*(1+annual_incr_util)^6,IF(B13=Input!$I$13+84,Input!$I$12*(1+annual_incr_util)^7,IF(B13=Input!$I$13+96,Input!$I$12*(1+annual_incr_util)^8,IF(B13=Input!$I$13+108,Input!$I$12*(1+annual_incr_util)^9,IF(B13=Input!$I$13+120,Input!$I$12*(1+annual_incr_util)^10,I12))))))))))))</f>
        <v>450</v>
      </c>
      <c r="J13" s="139">
        <f>IF(Input!$I$16="",0,IF(B13=Input!$I$16,Input!$I$15,IF(B13=Input!$I$16+12,Input!$I$15*(1+annual_incr_advtg),IF(B13=Input!$I$16+24,Input!$I$15*(1+annual_incr_advtg)^2,IF(B13=Input!$I$16+36,Input!$I$15*(1+annual_incr_advtg)^3,IF(B13=Input!$I$16+48,Input!$I$15*(1+annual_incr_advtg)^4,IF(B13=Input!$I$16+60,Input!$I$15*(1+annual_incr_advtg)^5,IF(B13=Input!$I$16+72,Input!$I$15*(1+annual_incr_advtg)^6,IF(B13=Input!$I$16+84,Input!$I$15*(1+annual_incr_advtg)^7,IF(B13=Input!$I$16+96,Input!$I$15*(1+annual_incr_advtg)^8,IF(B13=Input!$I$16+108,Input!$I$15*(1+annual_incr_advtg)^9,IF(B13=Input!$I$16+120,Input!$I$15*(1+annual_incr_advtg)^10,0))))))))))))</f>
        <v>0</v>
      </c>
      <c r="K13" s="139">
        <f>IF(Input!$I$19="",0,IF(B13=Input!$I$19,Input!$I$18,IF(B13=Input!$I$19+12,Input!$I$18*(1+annual_incr_other1),IF(B13=Input!$I$19+24,Input!$I$18*(1+annual_incr_other1)^2,IF(B13=Input!$I$19+36,Input!$I$18*(1+annual_incr_other1)^3,IF(B13=Input!$I$19+48,Input!$I$18*(1+annual_incr_other1)^4,IF(B13=Input!$I$19+60,Input!$I$18*(1+annual_incr_other1)^5,IF(B13=Input!$I$19+72,Input!$I$18*(1+annual_incr_other1)^6,IF(B13=Input!$I$19+84,Input!$I$18*(1+annual_incr_other1)^7,IF(B13=Input!$I$19+96,Input!$I$18*(1+annual_incr_other1)^8,IF(B13=Input!$I$19+108,Input!$I$18*(1+annual_incr_other1)^9,IF(B13=Input!$I$19+120,Input!$I$18*(1+annual_incr_other1)^10,0))))))))))))</f>
        <v>0</v>
      </c>
      <c r="L13" s="156">
        <f>IF(OR(Input!$I$22="",B13&lt;Input!$I$22),0,IF(AND(B13&gt;=Input!$I$22,B13&lt;Input!$I$22+12),Input!$I$21,IF(B13=Input!$I$22+12,Input!$I$21*(1+annual_incr_other2),IF(B13=Input!$I$22+24,Input!$I$21*(1+annual_incr_other2)^2,IF(B13=Input!$I$22+36,Input!$I$21*(1+annual_incr_other2)^3,IF(B13=Input!$I$22+48,Input!$I$21*(1+annual_incr_other2)^4,IF(B13=Input!$I$22+60,Input!$I$21*(1+annual_incr_other2)^5,IF(B13=Input!$I$22+72,Input!$I$21*(1+annual_incr_other2)^6,IF(B13=Input!$I$22+84,Input!$I$21*(1+annual_incr_other2)^7,IF(B13=Input!$I$22+96,Input!$I$21*(1+annual_incr_other2)^8,IF(B13=Input!$I$22+108,Input!$I$21*(1+annual_incr_other2)^9,IF(B13=Input!$I$22+120,Input!$I$21*(1+annual_incr_other2)^10,L12))))))))))))</f>
        <v>550</v>
      </c>
      <c r="M13" s="139">
        <f>IF(OR(Input!$I$27="",B13&lt;Input!$I$27),0,E13*mgmt_fee)</f>
        <v>1368</v>
      </c>
      <c r="N13" s="139">
        <f>IF(OR(Input!$I$29="",B13&lt;Input!$I$29),0,E13*repairs_maint)</f>
        <v>1672</v>
      </c>
      <c r="O13" s="149">
        <f>IF(Input!$I$31="",0,IF(OR(B13=Input!$I$31,B13=Input!$I$31+12,B13=Input!$I$31+24,B13=Input!$I$31+36,B13=Input!$I$31+48,B13=Input!$I$31+60,B13=Input!$I$31+72,B13=Input!$I$31+84,B13=Input!$I$31+96,B13=Input!$I$31+108,B13=Input!$I$31+120),E13*other_3,0))</f>
        <v>0</v>
      </c>
      <c r="P13" s="158">
        <f t="shared" si="13"/>
        <v>4040</v>
      </c>
      <c r="Q13" s="159">
        <f t="shared" si="14"/>
        <v>147960</v>
      </c>
      <c r="R13" s="160"/>
      <c r="S13" s="161">
        <f>IF(AND(leveraged_property,B13&lt;=amort_period),-IPMT(interest_rate/12,B13,amort_period,loan_amount),0)</f>
        <v>43154.223486550967</v>
      </c>
      <c r="T13" s="149">
        <f t="shared" si="15"/>
        <v>10785.731641414262</v>
      </c>
      <c r="U13" s="149">
        <f>IF(AND(leveraged_property,B13&lt;=amort_period),-PMT(interest_rate/12,amort_period,loan_amount),0)</f>
        <v>53939.95512796523</v>
      </c>
      <c r="V13" s="149">
        <f t="shared" si="16"/>
        <v>9404681.210878795</v>
      </c>
      <c r="W13" s="160"/>
      <c r="X13" s="149">
        <f t="shared" si="17"/>
        <v>86250</v>
      </c>
      <c r="Y13" s="162">
        <f t="shared" si="18"/>
        <v>20617200</v>
      </c>
      <c r="Z13" s="156">
        <f t="shared" si="1"/>
        <v>20346670.199999996</v>
      </c>
      <c r="AA13" s="163">
        <f t="shared" ca="1" si="2"/>
        <v>20346670.199999996</v>
      </c>
      <c r="AB13" s="160"/>
      <c r="AC13" s="164">
        <f>Input!$C$25/12</f>
        <v>26538.461538461535</v>
      </c>
      <c r="AD13" s="139">
        <f t="shared" si="3"/>
        <v>78267.314974987501</v>
      </c>
      <c r="AE13" s="149">
        <f t="shared" si="4"/>
        <v>23480.194492496248</v>
      </c>
      <c r="AF13" s="139">
        <f ca="1">IF(AA13=0,0,AA13-(total_initial_cost-SUM($AC$5:AC13)))</f>
        <v>-114483.64615385234</v>
      </c>
      <c r="AG13" s="139">
        <f t="shared" ca="1" si="5"/>
        <v>-22896.72923077047</v>
      </c>
      <c r="AH13" s="149">
        <f t="shared" ca="1" si="19"/>
        <v>20369566.929230765</v>
      </c>
      <c r="AI13" s="103"/>
      <c r="AJ13" s="165">
        <f t="shared" ca="1" si="6"/>
        <v>-330433.07076923549</v>
      </c>
      <c r="AK13" s="165"/>
      <c r="AL13" s="166"/>
      <c r="AM13" s="167"/>
      <c r="AN13" s="168"/>
      <c r="AO13" s="169"/>
      <c r="AP13" s="132"/>
      <c r="AQ13" s="149">
        <f t="shared" si="20"/>
        <v>94020.044872034778</v>
      </c>
      <c r="AR13" s="149">
        <f t="shared" ca="1" si="7"/>
        <v>11036009.033993235</v>
      </c>
      <c r="AS13" s="288">
        <f ca="1">IF(down_payment&lt;=0,"N/A",IRR(($AQ$4:AQ12,AR13),))</f>
        <v>5.173401081955944E-3</v>
      </c>
      <c r="AT13" s="290">
        <f t="shared" ca="1" si="8"/>
        <v>6.3878061199519331E-2</v>
      </c>
      <c r="AU13" s="288">
        <f ca="1">IF(down_payment&lt;=0,"N/A",MIRR(($AQ$4:AQ12,AR13),finance_rate,reinvestment_rate))</f>
        <v>5.4673605720871876E-3</v>
      </c>
      <c r="AV13" s="290">
        <f t="shared" ca="1" si="9"/>
        <v>6.7617601858677823E-2</v>
      </c>
      <c r="AW13" s="176"/>
      <c r="AX13" s="152">
        <f t="shared" si="10"/>
        <v>70539.850379538533</v>
      </c>
      <c r="AY13" s="296" t="str">
        <f>IF(AND(B13=$BA$4,OR(down_payment&lt;=0,purchase_date="")),"N/A",IF(B13=$BA$4,XIRR(AX$4:AX13,A$4:A13),""))</f>
        <v/>
      </c>
      <c r="BA13" s="177"/>
    </row>
    <row r="14" spans="1:53">
      <c r="A14" s="137">
        <f t="shared" si="21"/>
        <v>40466</v>
      </c>
      <c r="B14" s="138">
        <f t="shared" si="11"/>
        <v>10</v>
      </c>
      <c r="C14" s="139">
        <f>C13+(C13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4" s="139">
        <f t="shared" si="0"/>
        <v>8000</v>
      </c>
      <c r="E14" s="140">
        <f t="shared" si="12"/>
        <v>152000</v>
      </c>
      <c r="F14" s="141"/>
      <c r="G14" s="157">
        <f>IF(Input!$I$7="",0,IF(B14=Input!$I$7,Input!$I$6,IF(B14=Input!$I$7+12,Input!$I$6*(1+annual_incr_proptax),IF(B14=Input!$I$7+24,Input!$I$6*(1+annual_incr_proptax)^2,IF(B14=Input!$I$7+36,Input!$I$6*(1+annual_incr_proptax)^3,IF(B14=Input!$I$7+48,Input!$I$6*(1+annual_incr_proptax)^4,IF(B14=Input!$I$7+60,Input!$I$6*(1+annual_incr_proptax)^5,IF(B14=Input!$I$7+72,Input!$I$6*(1+annual_incr_proptax)^6,IF(B14=Input!$I$7+84,Input!$I$6*(1+annual_incr_proptax)^7,IF(B14=Input!$I$7+96,Input!$I$6*(1+annual_incr_proptax)^8,IF(B14=Input!$I$7+108,Input!$I$6*(1+annual_incr_proptax)^9,IF(B14=Input!$I$7+120,Input!$I$6*(1+annual_incr_proptax)^10,0))))))))))))</f>
        <v>0</v>
      </c>
      <c r="H14" s="139">
        <f>IF(Input!$I$10="",0,IF(B14=Input!$I$10,Input!$I$9,IF(B14=Input!$I$10+12,Input!$I$9*(1+annual_incr_ins),IF(B14=Input!$I$10+24,Input!$I$9*(1+annual_incr_ins)^2,IF(B14=Input!$I$10+36,Input!$I$9*(1+annual_incr_ins)^3,IF(B14=Input!$I$10+48,Input!$I$9*(1+annual_incr_ins)^4,IF(B14=Input!$I$10+60,Input!$I$9*(1+annual_incr_ins)^5,IF(B14=Input!$I$10+72,Input!$I$9*(1+annual_incr_ins)^6,IF(B14=Input!$I$10+84,Input!$I$9*(1+annual_incr_ins)^7,IF(B14=Input!$I$10+96,Input!$I$9*(1+annual_incr_ins)^8,IF(B14=Input!$I$10+108,Input!$I$9*(1+annual_incr_ins)^9,IF(B14=Input!$I$10+120,Input!$I$9*(1+annual_incr_ins)^10,0))))))))))))</f>
        <v>0</v>
      </c>
      <c r="I14" s="139">
        <f>IF(OR(Input!$I$13="",B14&lt;Input!$I$13),0,IF(AND(B14&gt;=Input!$I$13,B14&lt;Input!$I$13+12),Input!$I$12,IF(B14=Input!$I$13+12,Input!$I$12*(1+annual_incr_util),IF(B14=Input!$I$13+24,Input!$I$12*(1+annual_incr_util)^2,IF(B14=Input!$I$13+36,Input!$I$12*(1+annual_incr_util)^3,IF(B14=Input!$I$13+48,Input!$I$12*(1+annual_incr_util)^4,IF(B14=Input!$I$13+60,Input!$I$12*(1+annual_incr_util)^5,IF(B14=Input!$I$13+72,Input!$I$12*(1+annual_incr_util)^6,IF(B14=Input!$I$13+84,Input!$I$12*(1+annual_incr_util)^7,IF(B14=Input!$I$13+96,Input!$I$12*(1+annual_incr_util)^8,IF(B14=Input!$I$13+108,Input!$I$12*(1+annual_incr_util)^9,IF(B14=Input!$I$13+120,Input!$I$12*(1+annual_incr_util)^10,I13))))))))))))</f>
        <v>450</v>
      </c>
      <c r="J14" s="139">
        <f>IF(Input!$I$16="",0,IF(B14=Input!$I$16,Input!$I$15,IF(B14=Input!$I$16+12,Input!$I$15*(1+annual_incr_advtg),IF(B14=Input!$I$16+24,Input!$I$15*(1+annual_incr_advtg)^2,IF(B14=Input!$I$16+36,Input!$I$15*(1+annual_incr_advtg)^3,IF(B14=Input!$I$16+48,Input!$I$15*(1+annual_incr_advtg)^4,IF(B14=Input!$I$16+60,Input!$I$15*(1+annual_incr_advtg)^5,IF(B14=Input!$I$16+72,Input!$I$15*(1+annual_incr_advtg)^6,IF(B14=Input!$I$16+84,Input!$I$15*(1+annual_incr_advtg)^7,IF(B14=Input!$I$16+96,Input!$I$15*(1+annual_incr_advtg)^8,IF(B14=Input!$I$16+108,Input!$I$15*(1+annual_incr_advtg)^9,IF(B14=Input!$I$16+120,Input!$I$15*(1+annual_incr_advtg)^10,0))))))))))))</f>
        <v>0</v>
      </c>
      <c r="K14" s="139">
        <f>IF(Input!$I$19="",0,IF(B14=Input!$I$19,Input!$I$18,IF(B14=Input!$I$19+12,Input!$I$18*(1+annual_incr_other1),IF(B14=Input!$I$19+24,Input!$I$18*(1+annual_incr_other1)^2,IF(B14=Input!$I$19+36,Input!$I$18*(1+annual_incr_other1)^3,IF(B14=Input!$I$19+48,Input!$I$18*(1+annual_incr_other1)^4,IF(B14=Input!$I$19+60,Input!$I$18*(1+annual_incr_other1)^5,IF(B14=Input!$I$19+72,Input!$I$18*(1+annual_incr_other1)^6,IF(B14=Input!$I$19+84,Input!$I$18*(1+annual_incr_other1)^7,IF(B14=Input!$I$19+96,Input!$I$18*(1+annual_incr_other1)^8,IF(B14=Input!$I$19+108,Input!$I$18*(1+annual_incr_other1)^9,IF(B14=Input!$I$19+120,Input!$I$18*(1+annual_incr_other1)^10,0))))))))))))</f>
        <v>0</v>
      </c>
      <c r="L14" s="156">
        <f>IF(OR(Input!$I$22="",B14&lt;Input!$I$22),0,IF(AND(B14&gt;=Input!$I$22,B14&lt;Input!$I$22+12),Input!$I$21,IF(B14=Input!$I$22+12,Input!$I$21*(1+annual_incr_other2),IF(B14=Input!$I$22+24,Input!$I$21*(1+annual_incr_other2)^2,IF(B14=Input!$I$22+36,Input!$I$21*(1+annual_incr_other2)^3,IF(B14=Input!$I$22+48,Input!$I$21*(1+annual_incr_other2)^4,IF(B14=Input!$I$22+60,Input!$I$21*(1+annual_incr_other2)^5,IF(B14=Input!$I$22+72,Input!$I$21*(1+annual_incr_other2)^6,IF(B14=Input!$I$22+84,Input!$I$21*(1+annual_incr_other2)^7,IF(B14=Input!$I$22+96,Input!$I$21*(1+annual_incr_other2)^8,IF(B14=Input!$I$22+108,Input!$I$21*(1+annual_incr_other2)^9,IF(B14=Input!$I$22+120,Input!$I$21*(1+annual_incr_other2)^10,L13))))))))))))</f>
        <v>550</v>
      </c>
      <c r="M14" s="139">
        <f>IF(OR(Input!$I$27="",B14&lt;Input!$I$27),0,E14*mgmt_fee)</f>
        <v>1368</v>
      </c>
      <c r="N14" s="139">
        <f>IF(OR(Input!$I$29="",B14&lt;Input!$I$29),0,E14*repairs_maint)</f>
        <v>1672</v>
      </c>
      <c r="O14" s="149">
        <f>IF(Input!$I$31="",0,IF(OR(B14=Input!$I$31,B14=Input!$I$31+12,B14=Input!$I$31+24,B14=Input!$I$31+36,B14=Input!$I$31+48,B14=Input!$I$31+60,B14=Input!$I$31+72,B14=Input!$I$31+84,B14=Input!$I$31+96,B14=Input!$I$31+108,B14=Input!$I$31+120),E14*other_3,0))</f>
        <v>0</v>
      </c>
      <c r="P14" s="158">
        <f t="shared" si="13"/>
        <v>4040</v>
      </c>
      <c r="Q14" s="159">
        <f t="shared" si="14"/>
        <v>147960</v>
      </c>
      <c r="R14" s="160"/>
      <c r="S14" s="161">
        <f>IF(AND(leveraged_property,B14&lt;=amort_period),-IPMT(interest_rate/12,B14,amort_period,loan_amount),0)</f>
        <v>43104.788883194487</v>
      </c>
      <c r="T14" s="149">
        <f t="shared" si="15"/>
        <v>10835.166244770742</v>
      </c>
      <c r="U14" s="149">
        <f>IF(AND(leveraged_property,B14&lt;=amort_period),-PMT(interest_rate/12,amort_period,loan_amount),0)</f>
        <v>53939.95512796523</v>
      </c>
      <c r="V14" s="149">
        <f t="shared" si="16"/>
        <v>9393846.0446340237</v>
      </c>
      <c r="W14" s="160"/>
      <c r="X14" s="149">
        <f t="shared" si="17"/>
        <v>86250</v>
      </c>
      <c r="Y14" s="162">
        <f t="shared" si="18"/>
        <v>20700000</v>
      </c>
      <c r="Z14" s="156">
        <f t="shared" si="1"/>
        <v>20346329.699999996</v>
      </c>
      <c r="AA14" s="163">
        <f t="shared" ca="1" si="2"/>
        <v>20346329.699999996</v>
      </c>
      <c r="AB14" s="160"/>
      <c r="AC14" s="164">
        <f>Input!$C$25/12</f>
        <v>26538.461538461535</v>
      </c>
      <c r="AD14" s="139">
        <f t="shared" si="3"/>
        <v>78316.749578343981</v>
      </c>
      <c r="AE14" s="149">
        <f t="shared" si="4"/>
        <v>23495.024873503193</v>
      </c>
      <c r="AF14" s="139">
        <f ca="1">IF(AA14=0,0,AA14-(total_initial_cost-SUM($AC$5:AC14)))</f>
        <v>-88285.684615388513</v>
      </c>
      <c r="AG14" s="139">
        <f t="shared" ca="1" si="5"/>
        <v>-17657.136923077702</v>
      </c>
      <c r="AH14" s="149">
        <f t="shared" ca="1" si="19"/>
        <v>20363986.836923074</v>
      </c>
      <c r="AI14" s="103"/>
      <c r="AJ14" s="165">
        <f t="shared" ca="1" si="6"/>
        <v>-336013.16307692602</v>
      </c>
      <c r="AK14" s="165"/>
      <c r="AL14" s="166"/>
      <c r="AM14" s="167"/>
      <c r="AN14" s="168"/>
      <c r="AO14" s="169"/>
      <c r="AP14" s="132"/>
      <c r="AQ14" s="149">
        <f t="shared" si="20"/>
        <v>94020.044872034778</v>
      </c>
      <c r="AR14" s="149">
        <f t="shared" ca="1" si="7"/>
        <v>11046503.700238006</v>
      </c>
      <c r="AS14" s="288">
        <f ca="1">IF(down_payment&lt;=0,"N/A",IRR(($AQ$4:AQ13,AR14),))</f>
        <v>5.5949008629328284E-3</v>
      </c>
      <c r="AT14" s="290">
        <f t="shared" ca="1" si="8"/>
        <v>6.9243822272677891E-2</v>
      </c>
      <c r="AU14" s="288">
        <f ca="1">IF(down_payment&lt;=0,"N/A",MIRR(($AQ$4:AQ13,AR14),finance_rate,reinvestment_rate))</f>
        <v>5.9129464998324277E-3</v>
      </c>
      <c r="AV14" s="290">
        <f t="shared" ca="1" si="9"/>
        <v>7.3309004123966348E-2</v>
      </c>
      <c r="AW14" s="172"/>
      <c r="AX14" s="152">
        <f t="shared" si="10"/>
        <v>70525.019998531585</v>
      </c>
      <c r="AY14" s="296" t="str">
        <f>IF(AND(B14=$BA$4,OR(down_payment&lt;=0,purchase_date="")),"N/A",IF(B14=$BA$4,XIRR(AX$4:AX14,A$4:A14),""))</f>
        <v/>
      </c>
      <c r="BA14" s="178"/>
    </row>
    <row r="15" spans="1:53">
      <c r="A15" s="137">
        <f t="shared" si="21"/>
        <v>40497</v>
      </c>
      <c r="B15" s="138">
        <f t="shared" si="11"/>
        <v>11</v>
      </c>
      <c r="C15" s="139">
        <f>C14+(C14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5" s="139">
        <f t="shared" si="0"/>
        <v>8000</v>
      </c>
      <c r="E15" s="140">
        <f t="shared" si="12"/>
        <v>152000</v>
      </c>
      <c r="F15" s="141"/>
      <c r="G15" s="157">
        <f>IF(Input!$I$7="",0,IF(B15=Input!$I$7,Input!$I$6,IF(B15=Input!$I$7+12,Input!$I$6*(1+annual_incr_proptax),IF(B15=Input!$I$7+24,Input!$I$6*(1+annual_incr_proptax)^2,IF(B15=Input!$I$7+36,Input!$I$6*(1+annual_incr_proptax)^3,IF(B15=Input!$I$7+48,Input!$I$6*(1+annual_incr_proptax)^4,IF(B15=Input!$I$7+60,Input!$I$6*(1+annual_incr_proptax)^5,IF(B15=Input!$I$7+72,Input!$I$6*(1+annual_incr_proptax)^6,IF(B15=Input!$I$7+84,Input!$I$6*(1+annual_incr_proptax)^7,IF(B15=Input!$I$7+96,Input!$I$6*(1+annual_incr_proptax)^8,IF(B15=Input!$I$7+108,Input!$I$6*(1+annual_incr_proptax)^9,IF(B15=Input!$I$7+120,Input!$I$6*(1+annual_incr_proptax)^10,0))))))))))))</f>
        <v>0</v>
      </c>
      <c r="H15" s="139">
        <f>IF(Input!$I$10="",0,IF(B15=Input!$I$10,Input!$I$9,IF(B15=Input!$I$10+12,Input!$I$9*(1+annual_incr_ins),IF(B15=Input!$I$10+24,Input!$I$9*(1+annual_incr_ins)^2,IF(B15=Input!$I$10+36,Input!$I$9*(1+annual_incr_ins)^3,IF(B15=Input!$I$10+48,Input!$I$9*(1+annual_incr_ins)^4,IF(B15=Input!$I$10+60,Input!$I$9*(1+annual_incr_ins)^5,IF(B15=Input!$I$10+72,Input!$I$9*(1+annual_incr_ins)^6,IF(B15=Input!$I$10+84,Input!$I$9*(1+annual_incr_ins)^7,IF(B15=Input!$I$10+96,Input!$I$9*(1+annual_incr_ins)^8,IF(B15=Input!$I$10+108,Input!$I$9*(1+annual_incr_ins)^9,IF(B15=Input!$I$10+120,Input!$I$9*(1+annual_incr_ins)^10,0))))))))))))</f>
        <v>0</v>
      </c>
      <c r="I15" s="139">
        <f>IF(OR(Input!$I$13="",B15&lt;Input!$I$13),0,IF(AND(B15&gt;=Input!$I$13,B15&lt;Input!$I$13+12),Input!$I$12,IF(B15=Input!$I$13+12,Input!$I$12*(1+annual_incr_util),IF(B15=Input!$I$13+24,Input!$I$12*(1+annual_incr_util)^2,IF(B15=Input!$I$13+36,Input!$I$12*(1+annual_incr_util)^3,IF(B15=Input!$I$13+48,Input!$I$12*(1+annual_incr_util)^4,IF(B15=Input!$I$13+60,Input!$I$12*(1+annual_incr_util)^5,IF(B15=Input!$I$13+72,Input!$I$12*(1+annual_incr_util)^6,IF(B15=Input!$I$13+84,Input!$I$12*(1+annual_incr_util)^7,IF(B15=Input!$I$13+96,Input!$I$12*(1+annual_incr_util)^8,IF(B15=Input!$I$13+108,Input!$I$12*(1+annual_incr_util)^9,IF(B15=Input!$I$13+120,Input!$I$12*(1+annual_incr_util)^10,I14))))))))))))</f>
        <v>450</v>
      </c>
      <c r="J15" s="139">
        <f>IF(Input!$I$16="",0,IF(B15=Input!$I$16,Input!$I$15,IF(B15=Input!$I$16+12,Input!$I$15*(1+annual_incr_advtg),IF(B15=Input!$I$16+24,Input!$I$15*(1+annual_incr_advtg)^2,IF(B15=Input!$I$16+36,Input!$I$15*(1+annual_incr_advtg)^3,IF(B15=Input!$I$16+48,Input!$I$15*(1+annual_incr_advtg)^4,IF(B15=Input!$I$16+60,Input!$I$15*(1+annual_incr_advtg)^5,IF(B15=Input!$I$16+72,Input!$I$15*(1+annual_incr_advtg)^6,IF(B15=Input!$I$16+84,Input!$I$15*(1+annual_incr_advtg)^7,IF(B15=Input!$I$16+96,Input!$I$15*(1+annual_incr_advtg)^8,IF(B15=Input!$I$16+108,Input!$I$15*(1+annual_incr_advtg)^9,IF(B15=Input!$I$16+120,Input!$I$15*(1+annual_incr_advtg)^10,0))))))))))))</f>
        <v>0</v>
      </c>
      <c r="K15" s="139">
        <f>IF(Input!$I$19="",0,IF(B15=Input!$I$19,Input!$I$18,IF(B15=Input!$I$19+12,Input!$I$18*(1+annual_incr_other1),IF(B15=Input!$I$19+24,Input!$I$18*(1+annual_incr_other1)^2,IF(B15=Input!$I$19+36,Input!$I$18*(1+annual_incr_other1)^3,IF(B15=Input!$I$19+48,Input!$I$18*(1+annual_incr_other1)^4,IF(B15=Input!$I$19+60,Input!$I$18*(1+annual_incr_other1)^5,IF(B15=Input!$I$19+72,Input!$I$18*(1+annual_incr_other1)^6,IF(B15=Input!$I$19+84,Input!$I$18*(1+annual_incr_other1)^7,IF(B15=Input!$I$19+96,Input!$I$18*(1+annual_incr_other1)^8,IF(B15=Input!$I$19+108,Input!$I$18*(1+annual_incr_other1)^9,IF(B15=Input!$I$19+120,Input!$I$18*(1+annual_incr_other1)^10,0))))))))))))</f>
        <v>0</v>
      </c>
      <c r="L15" s="156">
        <f>IF(OR(Input!$I$22="",B15&lt;Input!$I$22),0,IF(AND(B15&gt;=Input!$I$22,B15&lt;Input!$I$22+12),Input!$I$21,IF(B15=Input!$I$22+12,Input!$I$21*(1+annual_incr_other2),IF(B15=Input!$I$22+24,Input!$I$21*(1+annual_incr_other2)^2,IF(B15=Input!$I$22+36,Input!$I$21*(1+annual_incr_other2)^3,IF(B15=Input!$I$22+48,Input!$I$21*(1+annual_incr_other2)^4,IF(B15=Input!$I$22+60,Input!$I$21*(1+annual_incr_other2)^5,IF(B15=Input!$I$22+72,Input!$I$21*(1+annual_incr_other2)^6,IF(B15=Input!$I$22+84,Input!$I$21*(1+annual_incr_other2)^7,IF(B15=Input!$I$22+96,Input!$I$21*(1+annual_incr_other2)^8,IF(B15=Input!$I$22+108,Input!$I$21*(1+annual_incr_other2)^9,IF(B15=Input!$I$22+120,Input!$I$21*(1+annual_incr_other2)^10,L14))))))))))))</f>
        <v>550</v>
      </c>
      <c r="M15" s="139">
        <f>IF(OR(Input!$I$27="",B15&lt;Input!$I$27),0,E15*mgmt_fee)</f>
        <v>1368</v>
      </c>
      <c r="N15" s="139">
        <f>IF(OR(Input!$I$29="",B15&lt;Input!$I$29),0,E15*repairs_maint)</f>
        <v>1672</v>
      </c>
      <c r="O15" s="149">
        <f>IF(Input!$I$31="",0,IF(OR(B15=Input!$I$31,B15=Input!$I$31+12,B15=Input!$I$31+24,B15=Input!$I$31+36,B15=Input!$I$31+48,B15=Input!$I$31+60,B15=Input!$I$31+72,B15=Input!$I$31+84,B15=Input!$I$31+96,B15=Input!$I$31+108,B15=Input!$I$31+120),E15*other_3,0))</f>
        <v>0</v>
      </c>
      <c r="P15" s="158">
        <f t="shared" si="13"/>
        <v>4040</v>
      </c>
      <c r="Q15" s="159">
        <f t="shared" si="14"/>
        <v>147960</v>
      </c>
      <c r="R15" s="160"/>
      <c r="S15" s="161">
        <f>IF(AND(leveraged_property,B15&lt;=amort_period),-IPMT(interest_rate/12,B15,amort_period,loan_amount),0)</f>
        <v>43055.127704572616</v>
      </c>
      <c r="T15" s="149">
        <f t="shared" si="15"/>
        <v>10884.827423392613</v>
      </c>
      <c r="U15" s="149">
        <f>IF(AND(leveraged_property,B15&lt;=amort_period),-PMT(interest_rate/12,amort_period,loan_amount),0)</f>
        <v>53939.95512796523</v>
      </c>
      <c r="V15" s="149">
        <f t="shared" si="16"/>
        <v>9382961.2172106318</v>
      </c>
      <c r="W15" s="160"/>
      <c r="X15" s="149">
        <f t="shared" si="17"/>
        <v>86250</v>
      </c>
      <c r="Y15" s="162">
        <f t="shared" si="18"/>
        <v>20782800</v>
      </c>
      <c r="Z15" s="156">
        <f t="shared" si="1"/>
        <v>20345989.199999999</v>
      </c>
      <c r="AA15" s="163">
        <f t="shared" ca="1" si="2"/>
        <v>20345989.199999999</v>
      </c>
      <c r="AB15" s="160"/>
      <c r="AC15" s="164">
        <f>Input!$C$25/12</f>
        <v>26538.461538461535</v>
      </c>
      <c r="AD15" s="139">
        <f t="shared" si="3"/>
        <v>78366.410756965852</v>
      </c>
      <c r="AE15" s="149">
        <f t="shared" si="4"/>
        <v>23509.923227089756</v>
      </c>
      <c r="AF15" s="139">
        <f ca="1">IF(AA15=0,0,AA15-(total_initial_cost-SUM($AC$5:AC15)))</f>
        <v>-62087.723076924682</v>
      </c>
      <c r="AG15" s="139">
        <f t="shared" ca="1" si="5"/>
        <v>-12417.544615384937</v>
      </c>
      <c r="AH15" s="149">
        <f t="shared" ca="1" si="19"/>
        <v>20358406.744615383</v>
      </c>
      <c r="AI15" s="103"/>
      <c r="AJ15" s="165">
        <f t="shared" ca="1" si="6"/>
        <v>-341593.25538461655</v>
      </c>
      <c r="AK15" s="165"/>
      <c r="AL15" s="166"/>
      <c r="AM15" s="167"/>
      <c r="AN15" s="168"/>
      <c r="AO15" s="179"/>
      <c r="AP15" s="132"/>
      <c r="AQ15" s="149">
        <f t="shared" si="20"/>
        <v>94020.044872034778</v>
      </c>
      <c r="AR15" s="149">
        <f t="shared" ca="1" si="7"/>
        <v>11057048.027661402</v>
      </c>
      <c r="AS15" s="288">
        <f ca="1">IF(down_payment&lt;=0,"N/A",IRR(($AQ$4:AQ14,AR15),))</f>
        <v>5.9393039470931894E-3</v>
      </c>
      <c r="AT15" s="290">
        <f t="shared" ca="1" si="8"/>
        <v>7.3646533484056143E-2</v>
      </c>
      <c r="AU15" s="288">
        <f ca="1">IF(down_payment&lt;=0,"N/A",MIRR(($AQ$4:AQ14,AR15),finance_rate,reinvestment_rate))</f>
        <v>6.281356498142765E-3</v>
      </c>
      <c r="AV15" s="290">
        <f t="shared" ca="1" si="9"/>
        <v>7.8035638775418636E-2</v>
      </c>
      <c r="AW15" s="172"/>
      <c r="AX15" s="152">
        <f t="shared" si="10"/>
        <v>70510.121644945029</v>
      </c>
      <c r="AY15" s="296" t="str">
        <f>IF(AND(B15=$BA$4,OR(down_payment&lt;=0,purchase_date="")),"N/A",IF(B15=$BA$4,XIRR(AX$4:AX15,A$4:A15),""))</f>
        <v/>
      </c>
      <c r="AZ15" s="109" t="s">
        <v>99</v>
      </c>
      <c r="BA15" s="180">
        <f ca="1">IF(down_payment&lt;=0,"N/A",NPV(BA6,AX4:AX124))</f>
        <v>3.8655931727654678E-8</v>
      </c>
    </row>
    <row r="16" spans="1:53">
      <c r="A16" s="181">
        <f t="shared" si="21"/>
        <v>40527</v>
      </c>
      <c r="B16" s="182">
        <f t="shared" si="11"/>
        <v>12</v>
      </c>
      <c r="C16" s="183">
        <f>C15+(C15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6" s="183">
        <f t="shared" si="0"/>
        <v>8000</v>
      </c>
      <c r="E16" s="184">
        <f t="shared" si="12"/>
        <v>152000</v>
      </c>
      <c r="F16" s="141"/>
      <c r="G16" s="185">
        <f>IF(Input!$I$7="",0,IF(B16=Input!$I$7,Input!$I$6,IF(B16=Input!$I$7+12,Input!$I$6*(1+annual_incr_proptax),IF(B16=Input!$I$7+24,Input!$I$6*(1+annual_incr_proptax)^2,IF(B16=Input!$I$7+36,Input!$I$6*(1+annual_incr_proptax)^3,IF(B16=Input!$I$7+48,Input!$I$6*(1+annual_incr_proptax)^4,IF(B16=Input!$I$7+60,Input!$I$6*(1+annual_incr_proptax)^5,IF(B16=Input!$I$7+72,Input!$I$6*(1+annual_incr_proptax)^6,IF(B16=Input!$I$7+84,Input!$I$6*(1+annual_incr_proptax)^7,IF(B16=Input!$I$7+96,Input!$I$6*(1+annual_incr_proptax)^8,IF(B16=Input!$I$7+108,Input!$I$6*(1+annual_incr_proptax)^9,IF(B16=Input!$I$7+120,Input!$I$6*(1+annual_incr_proptax)^10,0))))))))))))</f>
        <v>0</v>
      </c>
      <c r="H16" s="183">
        <f>IF(Input!$I$10="",0,IF(B16=Input!$I$10,Input!$I$9,IF(B16=Input!$I$10+12,Input!$I$9*(1+annual_incr_ins),IF(B16=Input!$I$10+24,Input!$I$9*(1+annual_incr_ins)^2,IF(B16=Input!$I$10+36,Input!$I$9*(1+annual_incr_ins)^3,IF(B16=Input!$I$10+48,Input!$I$9*(1+annual_incr_ins)^4,IF(B16=Input!$I$10+60,Input!$I$9*(1+annual_incr_ins)^5,IF(B16=Input!$I$10+72,Input!$I$9*(1+annual_incr_ins)^6,IF(B16=Input!$I$10+84,Input!$I$9*(1+annual_incr_ins)^7,IF(B16=Input!$I$10+96,Input!$I$9*(1+annual_incr_ins)^8,IF(B16=Input!$I$10+108,Input!$I$9*(1+annual_incr_ins)^9,IF(B16=Input!$I$10+120,Input!$I$9*(1+annual_incr_ins)^10,0))))))))))))</f>
        <v>0</v>
      </c>
      <c r="I16" s="183">
        <f>IF(OR(Input!$I$13="",B16&lt;Input!$I$13),0,IF(AND(B16&gt;=Input!$I$13,B16&lt;Input!$I$13+12),Input!$I$12,IF(B16=Input!$I$13+12,Input!$I$12*(1+annual_incr_util),IF(B16=Input!$I$13+24,Input!$I$12*(1+annual_incr_util)^2,IF(B16=Input!$I$13+36,Input!$I$12*(1+annual_incr_util)^3,IF(B16=Input!$I$13+48,Input!$I$12*(1+annual_incr_util)^4,IF(B16=Input!$I$13+60,Input!$I$12*(1+annual_incr_util)^5,IF(B16=Input!$I$13+72,Input!$I$12*(1+annual_incr_util)^6,IF(B16=Input!$I$13+84,Input!$I$12*(1+annual_incr_util)^7,IF(B16=Input!$I$13+96,Input!$I$12*(1+annual_incr_util)^8,IF(B16=Input!$I$13+108,Input!$I$12*(1+annual_incr_util)^9,IF(B16=Input!$I$13+120,Input!$I$12*(1+annual_incr_util)^10,I15))))))))))))</f>
        <v>450</v>
      </c>
      <c r="J16" s="183">
        <f>IF(Input!$I$16="",0,IF(B16=Input!$I$16,Input!$I$15,IF(B16=Input!$I$16+12,Input!$I$15*(1+annual_incr_advtg),IF(B16=Input!$I$16+24,Input!$I$15*(1+annual_incr_advtg)^2,IF(B16=Input!$I$16+36,Input!$I$15*(1+annual_incr_advtg)^3,IF(B16=Input!$I$16+48,Input!$I$15*(1+annual_incr_advtg)^4,IF(B16=Input!$I$16+60,Input!$I$15*(1+annual_incr_advtg)^5,IF(B16=Input!$I$16+72,Input!$I$15*(1+annual_incr_advtg)^6,IF(B16=Input!$I$16+84,Input!$I$15*(1+annual_incr_advtg)^7,IF(B16=Input!$I$16+96,Input!$I$15*(1+annual_incr_advtg)^8,IF(B16=Input!$I$16+108,Input!$I$15*(1+annual_incr_advtg)^9,IF(B16=Input!$I$16+120,Input!$I$15*(1+annual_incr_advtg)^10,0))))))))))))</f>
        <v>0</v>
      </c>
      <c r="K16" s="183">
        <f>IF(Input!$I$19="",0,IF(B16=Input!$I$19,Input!$I$18,IF(B16=Input!$I$19+12,Input!$I$18*(1+annual_incr_other1),IF(B16=Input!$I$19+24,Input!$I$18*(1+annual_incr_other1)^2,IF(B16=Input!$I$19+36,Input!$I$18*(1+annual_incr_other1)^3,IF(B16=Input!$I$19+48,Input!$I$18*(1+annual_incr_other1)^4,IF(B16=Input!$I$19+60,Input!$I$18*(1+annual_incr_other1)^5,IF(B16=Input!$I$19+72,Input!$I$18*(1+annual_incr_other1)^6,IF(B16=Input!$I$19+84,Input!$I$18*(1+annual_incr_other1)^7,IF(B16=Input!$I$19+96,Input!$I$18*(1+annual_incr_other1)^8,IF(B16=Input!$I$19+108,Input!$I$18*(1+annual_incr_other1)^9,IF(B16=Input!$I$19+120,Input!$I$18*(1+annual_incr_other1)^10,0))))))))))))</f>
        <v>0</v>
      </c>
      <c r="L16" s="183">
        <f>IF(OR(Input!$I$22="",B16&lt;Input!$I$22),0,IF(AND(B16&gt;=Input!$I$22,B16&lt;Input!$I$22+12),Input!$I$21,IF(B16=Input!$I$22+12,Input!$I$21*(1+annual_incr_other2),IF(B16=Input!$I$22+24,Input!$I$21*(1+annual_incr_other2)^2,IF(B16=Input!$I$22+36,Input!$I$21*(1+annual_incr_other2)^3,IF(B16=Input!$I$22+48,Input!$I$21*(1+annual_incr_other2)^4,IF(B16=Input!$I$22+60,Input!$I$21*(1+annual_incr_other2)^5,IF(B16=Input!$I$22+72,Input!$I$21*(1+annual_incr_other2)^6,IF(B16=Input!$I$22+84,Input!$I$21*(1+annual_incr_other2)^7,IF(B16=Input!$I$22+96,Input!$I$21*(1+annual_incr_other2)^8,IF(B16=Input!$I$22+108,Input!$I$21*(1+annual_incr_other2)^9,IF(B16=Input!$I$22+120,Input!$I$21*(1+annual_incr_other2)^10,L15))))))))))))</f>
        <v>550</v>
      </c>
      <c r="M16" s="183">
        <f>IF(OR(Input!$I$27="",B16&lt;Input!$I$27),0,E16*mgmt_fee)</f>
        <v>1368</v>
      </c>
      <c r="N16" s="183">
        <f>IF(OR(Input!$I$29="",B16&lt;Input!$I$29),0,E16*repairs_maint)</f>
        <v>1672</v>
      </c>
      <c r="O16" s="186">
        <f>IF(Input!$I$31="",0,IF(OR(B16=Input!$I$31,B16=Input!$I$31+12,B16=Input!$I$31+24,B16=Input!$I$31+36,B16=Input!$I$31+48,B16=Input!$I$31+60,B16=Input!$I$31+72,B16=Input!$I$31+84,B16=Input!$I$31+96,B16=Input!$I$31+108,B16=Input!$I$31+120),E16*other_3,0))</f>
        <v>0</v>
      </c>
      <c r="P16" s="187">
        <f t="shared" si="13"/>
        <v>4040</v>
      </c>
      <c r="Q16" s="188">
        <f t="shared" si="14"/>
        <v>147960</v>
      </c>
      <c r="R16" s="160"/>
      <c r="S16" s="189">
        <f>IF(AND(leveraged_property,B16&lt;=amort_period),-IPMT(interest_rate/12,B16,amort_period,loan_amount),0)</f>
        <v>43005.238912215405</v>
      </c>
      <c r="T16" s="186">
        <f t="shared" si="15"/>
        <v>10934.716215749824</v>
      </c>
      <c r="U16" s="186">
        <f>IF(AND(leveraged_property,B16&lt;=amort_period),-PMT(interest_rate/12,amort_period,loan_amount),0)</f>
        <v>53939.95512796523</v>
      </c>
      <c r="V16" s="186">
        <f t="shared" si="16"/>
        <v>9372026.5009948816</v>
      </c>
      <c r="W16" s="160"/>
      <c r="X16" s="186">
        <f t="shared" si="17"/>
        <v>86250</v>
      </c>
      <c r="Y16" s="186">
        <f t="shared" si="18"/>
        <v>20865600</v>
      </c>
      <c r="Z16" s="183">
        <f t="shared" si="1"/>
        <v>20345648.699999999</v>
      </c>
      <c r="AA16" s="188">
        <f t="shared" ca="1" si="2"/>
        <v>20345648.699999999</v>
      </c>
      <c r="AB16" s="160"/>
      <c r="AC16" s="190">
        <f>Input!$C$25/12</f>
        <v>26538.461538461535</v>
      </c>
      <c r="AD16" s="183">
        <f t="shared" si="3"/>
        <v>78416.29954932307</v>
      </c>
      <c r="AE16" s="186">
        <f t="shared" si="4"/>
        <v>23524.889864796922</v>
      </c>
      <c r="AF16" s="183">
        <f ca="1">IF(AA16=0,0,AA16-(total_initial_cost-SUM($AC$5:AC16)))</f>
        <v>-35889.761538460851</v>
      </c>
      <c r="AG16" s="183">
        <f t="shared" ca="1" si="5"/>
        <v>-7177.9523076921705</v>
      </c>
      <c r="AH16" s="186">
        <f t="shared" ca="1" si="19"/>
        <v>20352826.652307693</v>
      </c>
      <c r="AI16" s="103"/>
      <c r="AJ16" s="191">
        <f t="shared" ca="1" si="6"/>
        <v>-347173.34769230708</v>
      </c>
      <c r="AK16" s="191">
        <f t="shared" ref="AK16:AK47" ca="1" si="22">SUM(Q5:Q16)-SUM(S5:S16)-SUM(AE5:AE16)+AJ16</f>
        <v>577670.82007482834</v>
      </c>
      <c r="AL16" s="298">
        <f t="shared" ref="AL16:AL47" ca="1" si="23">IF(down_payment&lt;=0,"N/A",AK16/down_payment)</f>
        <v>5.157775179239539E-2</v>
      </c>
      <c r="AM16" s="298">
        <f t="shared" ref="AM16:AM47" si="24">IF(down_payment&lt;=0,"N/A",(SUM(Q5:Q16)-SUM(U5:U16))/down_payment)</f>
        <v>9.4352583791465813E-2</v>
      </c>
      <c r="AN16" s="298">
        <f t="shared" ref="AN16:AN47" si="25">IF(total_initial_cost&lt;=0,"N/A",SUM(Q5:Q16)/total_initial_cost)</f>
        <v>8.2320212560386463E-2</v>
      </c>
      <c r="AO16" s="299">
        <f>IF(leveraged_property,SUM(Q5:Q16)/SUM(U5:U16),"N/A")</f>
        <v>2.6326007563370286</v>
      </c>
      <c r="AP16" s="103"/>
      <c r="AQ16" s="186">
        <f t="shared" si="20"/>
        <v>94020.044872034778</v>
      </c>
      <c r="AR16" s="186">
        <f t="shared" ca="1" si="7"/>
        <v>11067642.243877152</v>
      </c>
      <c r="AS16" s="289">
        <f ca="1">IF(down_payment&lt;=0,"N/A",IRR(($AQ$4:AQ15,AR16),))</f>
        <v>6.2258914699640597E-3</v>
      </c>
      <c r="AT16" s="291">
        <f t="shared" ca="1" si="8"/>
        <v>7.7322814432739362E-2</v>
      </c>
      <c r="AU16" s="289">
        <f ca="1">IF(down_payment&lt;=0,"N/A",MIRR(($AQ$4:AQ15,AR16),finance_rate,reinvestment_rate))</f>
        <v>6.5918411393868226E-3</v>
      </c>
      <c r="AV16" s="291">
        <f t="shared" ca="1" si="9"/>
        <v>8.2033909459792609E-2</v>
      </c>
      <c r="AW16" s="172"/>
      <c r="AX16" s="192">
        <f t="shared" si="10"/>
        <v>70495.15500723786</v>
      </c>
      <c r="AY16" s="296" t="str">
        <f>IF(AND(B16=$BA$4,OR(down_payment&lt;=0,purchase_date="")),"N/A",IF(B16=$BA$4,XIRR(AX$4:AX16,A$4:A16),""))</f>
        <v/>
      </c>
      <c r="BA16" s="178"/>
    </row>
    <row r="17" spans="1:53">
      <c r="A17" s="137">
        <f t="shared" si="21"/>
        <v>40558</v>
      </c>
      <c r="B17" s="138">
        <f t="shared" si="11"/>
        <v>13</v>
      </c>
      <c r="C17" s="139">
        <f>C16+(C16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7" s="139">
        <f t="shared" si="0"/>
        <v>8000</v>
      </c>
      <c r="E17" s="140">
        <f t="shared" si="12"/>
        <v>152000</v>
      </c>
      <c r="F17" s="141"/>
      <c r="G17" s="157">
        <f>IF(Input!$I$7="",0,IF(B17=Input!$I$7,Input!$I$6,IF(B17=Input!$I$7+12,Input!$I$6*(1+annual_incr_proptax),IF(B17=Input!$I$7+24,Input!$I$6*(1+annual_incr_proptax)^2,IF(B17=Input!$I$7+36,Input!$I$6*(1+annual_incr_proptax)^3,IF(B17=Input!$I$7+48,Input!$I$6*(1+annual_incr_proptax)^4,IF(B17=Input!$I$7+60,Input!$I$6*(1+annual_incr_proptax)^5,IF(B17=Input!$I$7+72,Input!$I$6*(1+annual_incr_proptax)^6,IF(B17=Input!$I$7+84,Input!$I$6*(1+annual_incr_proptax)^7,IF(B17=Input!$I$7+96,Input!$I$6*(1+annual_incr_proptax)^8,IF(B17=Input!$I$7+108,Input!$I$6*(1+annual_incr_proptax)^9,IF(B17=Input!$I$7+120,Input!$I$6*(1+annual_incr_proptax)^10,0))))))))))))</f>
        <v>0</v>
      </c>
      <c r="H17" s="139">
        <f>IF(Input!$I$10="",0,IF(B17=Input!$I$10,Input!$I$9,IF(B17=Input!$I$10+12,Input!$I$9*(1+annual_incr_ins),IF(B17=Input!$I$10+24,Input!$I$9*(1+annual_incr_ins)^2,IF(B17=Input!$I$10+36,Input!$I$9*(1+annual_incr_ins)^3,IF(B17=Input!$I$10+48,Input!$I$9*(1+annual_incr_ins)^4,IF(B17=Input!$I$10+60,Input!$I$9*(1+annual_incr_ins)^5,IF(B17=Input!$I$10+72,Input!$I$9*(1+annual_incr_ins)^6,IF(B17=Input!$I$10+84,Input!$I$9*(1+annual_incr_ins)^7,IF(B17=Input!$I$10+96,Input!$I$9*(1+annual_incr_ins)^8,IF(B17=Input!$I$10+108,Input!$I$9*(1+annual_incr_ins)^9,IF(B17=Input!$I$10+120,Input!$I$9*(1+annual_incr_ins)^10,0))))))))))))</f>
        <v>0</v>
      </c>
      <c r="I17" s="139">
        <f>IF(OR(Input!$I$13="",B17&lt;Input!$I$13),0,IF(AND(B17&gt;=Input!$I$13,B17&lt;Input!$I$13+12),Input!$I$12,IF(B17=Input!$I$13+12,Input!$I$12*(1+annual_incr_util),IF(B17=Input!$I$13+24,Input!$I$12*(1+annual_incr_util)^2,IF(B17=Input!$I$13+36,Input!$I$12*(1+annual_incr_util)^3,IF(B17=Input!$I$13+48,Input!$I$12*(1+annual_incr_util)^4,IF(B17=Input!$I$13+60,Input!$I$12*(1+annual_incr_util)^5,IF(B17=Input!$I$13+72,Input!$I$12*(1+annual_incr_util)^6,IF(B17=Input!$I$13+84,Input!$I$12*(1+annual_incr_util)^7,IF(B17=Input!$I$13+96,Input!$I$12*(1+annual_incr_util)^8,IF(B17=Input!$I$13+108,Input!$I$12*(1+annual_incr_util)^9,IF(B17=Input!$I$13+120,Input!$I$12*(1+annual_incr_util)^10,I16))))))))))))</f>
        <v>450</v>
      </c>
      <c r="J17" s="139">
        <f>IF(Input!$I$16="",0,IF(B17=Input!$I$16,Input!$I$15,IF(B17=Input!$I$16+12,Input!$I$15*(1+annual_incr_advtg),IF(B17=Input!$I$16+24,Input!$I$15*(1+annual_incr_advtg)^2,IF(B17=Input!$I$16+36,Input!$I$15*(1+annual_incr_advtg)^3,IF(B17=Input!$I$16+48,Input!$I$15*(1+annual_incr_advtg)^4,IF(B17=Input!$I$16+60,Input!$I$15*(1+annual_incr_advtg)^5,IF(B17=Input!$I$16+72,Input!$I$15*(1+annual_incr_advtg)^6,IF(B17=Input!$I$16+84,Input!$I$15*(1+annual_incr_advtg)^7,IF(B17=Input!$I$16+96,Input!$I$15*(1+annual_incr_advtg)^8,IF(B17=Input!$I$16+108,Input!$I$15*(1+annual_incr_advtg)^9,IF(B17=Input!$I$16+120,Input!$I$15*(1+annual_incr_advtg)^10,0))))))))))))</f>
        <v>0</v>
      </c>
      <c r="K17" s="139">
        <f>IF(Input!$I$19="",0,IF(B17=Input!$I$19,Input!$I$18,IF(B17=Input!$I$19+12,Input!$I$18*(1+annual_incr_other1),IF(B17=Input!$I$19+24,Input!$I$18*(1+annual_incr_other1)^2,IF(B17=Input!$I$19+36,Input!$I$18*(1+annual_incr_other1)^3,IF(B17=Input!$I$19+48,Input!$I$18*(1+annual_incr_other1)^4,IF(B17=Input!$I$19+60,Input!$I$18*(1+annual_incr_other1)^5,IF(B17=Input!$I$19+72,Input!$I$18*(1+annual_incr_other1)^6,IF(B17=Input!$I$19+84,Input!$I$18*(1+annual_incr_other1)^7,IF(B17=Input!$I$19+96,Input!$I$18*(1+annual_incr_other1)^8,IF(B17=Input!$I$19+108,Input!$I$18*(1+annual_incr_other1)^9,IF(B17=Input!$I$19+120,Input!$I$18*(1+annual_incr_other1)^10,0))))))))))))</f>
        <v>0</v>
      </c>
      <c r="L17" s="156">
        <f>IF(OR(Input!$I$22="",B17&lt;Input!$I$22),0,IF(AND(B17&gt;=Input!$I$22,B17&lt;Input!$I$22+12),Input!$I$21,IF(B17=Input!$I$22+12,Input!$I$21*(1+annual_incr_other2),IF(B17=Input!$I$22+24,Input!$I$21*(1+annual_incr_other2)^2,IF(B17=Input!$I$22+36,Input!$I$21*(1+annual_incr_other2)^3,IF(B17=Input!$I$22+48,Input!$I$21*(1+annual_incr_other2)^4,IF(B17=Input!$I$22+60,Input!$I$21*(1+annual_incr_other2)^5,IF(B17=Input!$I$22+72,Input!$I$21*(1+annual_incr_other2)^6,IF(B17=Input!$I$22+84,Input!$I$21*(1+annual_incr_other2)^7,IF(B17=Input!$I$22+96,Input!$I$21*(1+annual_incr_other2)^8,IF(B17=Input!$I$22+108,Input!$I$21*(1+annual_incr_other2)^9,IF(B17=Input!$I$22+120,Input!$I$21*(1+annual_incr_other2)^10,L16))))))))))))</f>
        <v>563.75</v>
      </c>
      <c r="M17" s="139">
        <f>IF(OR(Input!$I$27="",B17&lt;Input!$I$27),0,E17*mgmt_fee)</f>
        <v>1368</v>
      </c>
      <c r="N17" s="139">
        <f>IF(OR(Input!$I$29="",B17&lt;Input!$I$29),0,E17*repairs_maint)</f>
        <v>1672</v>
      </c>
      <c r="O17" s="149">
        <f>IF(Input!$I$31="",0,IF(OR(B17=Input!$I$31,B17=Input!$I$31+12,B17=Input!$I$31+24,B17=Input!$I$31+36,B17=Input!$I$31+48,B17=Input!$I$31+60,B17=Input!$I$31+72,B17=Input!$I$31+84,B17=Input!$I$31+96,B17=Input!$I$31+108,B17=Input!$I$31+120),E17*other_3,0))</f>
        <v>0</v>
      </c>
      <c r="P17" s="158">
        <f t="shared" si="13"/>
        <v>4053.75</v>
      </c>
      <c r="Q17" s="159">
        <f t="shared" si="14"/>
        <v>147946.25</v>
      </c>
      <c r="R17" s="160"/>
      <c r="S17" s="161">
        <f>IF(AND(leveraged_property,B17&lt;=amort_period),-IPMT(interest_rate/12,B17,amort_period,loan_amount),0)</f>
        <v>42955.121462893214</v>
      </c>
      <c r="T17" s="149">
        <f t="shared" si="15"/>
        <v>10984.833665072016</v>
      </c>
      <c r="U17" s="149">
        <f>IF(AND(leveraged_property,B17&lt;=amort_period),-PMT(interest_rate/12,amort_period,loan_amount),0)</f>
        <v>53939.95512796523</v>
      </c>
      <c r="V17" s="149">
        <f t="shared" si="16"/>
        <v>9361041.6673298087</v>
      </c>
      <c r="W17" s="160"/>
      <c r="X17" s="149">
        <f t="shared" si="17"/>
        <v>90562.5</v>
      </c>
      <c r="Y17" s="162">
        <f t="shared" si="18"/>
        <v>20952540</v>
      </c>
      <c r="Z17" s="156">
        <f t="shared" si="1"/>
        <v>20649182.474999998</v>
      </c>
      <c r="AA17" s="163">
        <f t="shared" ca="1" si="2"/>
        <v>20649182.474999998</v>
      </c>
      <c r="AB17" s="160"/>
      <c r="AC17" s="164">
        <f>Input!$C$25/12</f>
        <v>26538.461538461535</v>
      </c>
      <c r="AD17" s="139">
        <f t="shared" si="3"/>
        <v>78452.666998645262</v>
      </c>
      <c r="AE17" s="149">
        <f t="shared" si="4"/>
        <v>23535.800099593576</v>
      </c>
      <c r="AF17" s="139">
        <f ca="1">IF(AA17=0,0,AA17-(total_initial_cost-SUM($AC$5:AC17)))</f>
        <v>294182.47499999776</v>
      </c>
      <c r="AG17" s="139">
        <f t="shared" ca="1" si="5"/>
        <v>58836.494999999559</v>
      </c>
      <c r="AH17" s="149">
        <f t="shared" ca="1" si="19"/>
        <v>20590345.979999997</v>
      </c>
      <c r="AI17" s="103"/>
      <c r="AJ17" s="165">
        <f t="shared" ca="1" si="6"/>
        <v>-109654.02000000328</v>
      </c>
      <c r="AK17" s="165">
        <f t="shared" ca="1" si="22"/>
        <v>814318.50440977339</v>
      </c>
      <c r="AL17" s="300">
        <f t="shared" ca="1" si="23"/>
        <v>7.2707009322301203E-2</v>
      </c>
      <c r="AM17" s="300">
        <f t="shared" si="24"/>
        <v>9.4189034684322964E-2</v>
      </c>
      <c r="AN17" s="300">
        <f t="shared" si="25"/>
        <v>8.223172222222222E-2</v>
      </c>
      <c r="AO17" s="301">
        <f>IF(leveraged_property,SUM(Q6:Q17)/SUM(U6:U17),"N/A")</f>
        <v>2.6297708349369979</v>
      </c>
      <c r="AP17" s="103"/>
      <c r="AQ17" s="149">
        <f t="shared" si="20"/>
        <v>94006.294872034778</v>
      </c>
      <c r="AR17" s="149">
        <f t="shared" ca="1" si="7"/>
        <v>11382147.102542223</v>
      </c>
      <c r="AS17" s="288">
        <f ca="1">IF(down_payment&lt;=0,"N/A",IRR(($AQ$4:AQ16,AR17),))</f>
        <v>8.4649349980454383E-3</v>
      </c>
      <c r="AT17" s="290">
        <f t="shared" ca="1" si="8"/>
        <v>0.10644447682978941</v>
      </c>
      <c r="AU17" s="288">
        <f ca="1">IF(down_payment&lt;=0,"N/A",MIRR(($AQ$4:AQ16,AR17),finance_rate,reinvestment_rate))</f>
        <v>8.7586819401113125E-3</v>
      </c>
      <c r="AV17" s="290">
        <f t="shared" ca="1" si="9"/>
        <v>0.1103181172312353</v>
      </c>
      <c r="AW17" s="132"/>
      <c r="AX17" s="152">
        <f t="shared" si="10"/>
        <v>70470.494772441205</v>
      </c>
      <c r="AY17" s="296" t="str">
        <f>IF(AND(B17=$BA$4,OR(down_payment&lt;=0,purchase_date="")),"N/A",IF(B17=$BA$4,XIRR(AX$4:AX17,A$4:A17),""))</f>
        <v/>
      </c>
      <c r="BA17" s="169"/>
    </row>
    <row r="18" spans="1:53">
      <c r="A18" s="137">
        <f t="shared" si="21"/>
        <v>40589</v>
      </c>
      <c r="B18" s="138">
        <f t="shared" si="11"/>
        <v>14</v>
      </c>
      <c r="C18" s="139">
        <f>C17+(C17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8" s="139">
        <f t="shared" si="0"/>
        <v>8000</v>
      </c>
      <c r="E18" s="140">
        <f t="shared" si="12"/>
        <v>152000</v>
      </c>
      <c r="F18" s="141"/>
      <c r="G18" s="157">
        <f>IF(Input!$I$7="",0,IF(B18=Input!$I$7,Input!$I$6,IF(B18=Input!$I$7+12,Input!$I$6*(1+annual_incr_proptax),IF(B18=Input!$I$7+24,Input!$I$6*(1+annual_incr_proptax)^2,IF(B18=Input!$I$7+36,Input!$I$6*(1+annual_incr_proptax)^3,IF(B18=Input!$I$7+48,Input!$I$6*(1+annual_incr_proptax)^4,IF(B18=Input!$I$7+60,Input!$I$6*(1+annual_incr_proptax)^5,IF(B18=Input!$I$7+72,Input!$I$6*(1+annual_incr_proptax)^6,IF(B18=Input!$I$7+84,Input!$I$6*(1+annual_incr_proptax)^7,IF(B18=Input!$I$7+96,Input!$I$6*(1+annual_incr_proptax)^8,IF(B18=Input!$I$7+108,Input!$I$6*(1+annual_incr_proptax)^9,IF(B18=Input!$I$7+120,Input!$I$6*(1+annual_incr_proptax)^10,0))))))))))))</f>
        <v>48644.999999999993</v>
      </c>
      <c r="H18" s="139">
        <f>IF(Input!$I$10="",0,IF(B18=Input!$I$10,Input!$I$9,IF(B18=Input!$I$10+12,Input!$I$9*(1+annual_incr_ins),IF(B18=Input!$I$10+24,Input!$I$9*(1+annual_incr_ins)^2,IF(B18=Input!$I$10+36,Input!$I$9*(1+annual_incr_ins)^3,IF(B18=Input!$I$10+48,Input!$I$9*(1+annual_incr_ins)^4,IF(B18=Input!$I$10+60,Input!$I$9*(1+annual_incr_ins)^5,IF(B18=Input!$I$10+72,Input!$I$9*(1+annual_incr_ins)^6,IF(B18=Input!$I$10+84,Input!$I$9*(1+annual_incr_ins)^7,IF(B18=Input!$I$10+96,Input!$I$9*(1+annual_incr_ins)^8,IF(B18=Input!$I$10+108,Input!$I$9*(1+annual_incr_ins)^9,IF(B18=Input!$I$10+120,Input!$I$9*(1+annual_incr_ins)^10,0))))))))))))</f>
        <v>0</v>
      </c>
      <c r="I18" s="139">
        <f>IF(OR(Input!$I$13="",B18&lt;Input!$I$13),0,IF(AND(B18&gt;=Input!$I$13,B18&lt;Input!$I$13+12),Input!$I$12,IF(B18=Input!$I$13+12,Input!$I$12*(1+annual_incr_util),IF(B18=Input!$I$13+24,Input!$I$12*(1+annual_incr_util)^2,IF(B18=Input!$I$13+36,Input!$I$12*(1+annual_incr_util)^3,IF(B18=Input!$I$13+48,Input!$I$12*(1+annual_incr_util)^4,IF(B18=Input!$I$13+60,Input!$I$12*(1+annual_incr_util)^5,IF(B18=Input!$I$13+72,Input!$I$12*(1+annual_incr_util)^6,IF(B18=Input!$I$13+84,Input!$I$12*(1+annual_incr_util)^7,IF(B18=Input!$I$13+96,Input!$I$12*(1+annual_incr_util)^8,IF(B18=Input!$I$13+108,Input!$I$12*(1+annual_incr_util)^9,IF(B18=Input!$I$13+120,Input!$I$12*(1+annual_incr_util)^10,I17))))))))))))</f>
        <v>450</v>
      </c>
      <c r="J18" s="139">
        <f>IF(Input!$I$16="",0,IF(B18=Input!$I$16,Input!$I$15,IF(B18=Input!$I$16+12,Input!$I$15*(1+annual_incr_advtg),IF(B18=Input!$I$16+24,Input!$I$15*(1+annual_incr_advtg)^2,IF(B18=Input!$I$16+36,Input!$I$15*(1+annual_incr_advtg)^3,IF(B18=Input!$I$16+48,Input!$I$15*(1+annual_incr_advtg)^4,IF(B18=Input!$I$16+60,Input!$I$15*(1+annual_incr_advtg)^5,IF(B18=Input!$I$16+72,Input!$I$15*(1+annual_incr_advtg)^6,IF(B18=Input!$I$16+84,Input!$I$15*(1+annual_incr_advtg)^7,IF(B18=Input!$I$16+96,Input!$I$15*(1+annual_incr_advtg)^8,IF(B18=Input!$I$16+108,Input!$I$15*(1+annual_incr_advtg)^9,IF(B18=Input!$I$16+120,Input!$I$15*(1+annual_incr_advtg)^10,0))))))))))))</f>
        <v>0</v>
      </c>
      <c r="K18" s="139">
        <f>IF(Input!$I$19="",0,IF(B18=Input!$I$19,Input!$I$18,IF(B18=Input!$I$19+12,Input!$I$18*(1+annual_incr_other1),IF(B18=Input!$I$19+24,Input!$I$18*(1+annual_incr_other1)^2,IF(B18=Input!$I$19+36,Input!$I$18*(1+annual_incr_other1)^3,IF(B18=Input!$I$19+48,Input!$I$18*(1+annual_incr_other1)^4,IF(B18=Input!$I$19+60,Input!$I$18*(1+annual_incr_other1)^5,IF(B18=Input!$I$19+72,Input!$I$18*(1+annual_incr_other1)^6,IF(B18=Input!$I$19+84,Input!$I$18*(1+annual_incr_other1)^7,IF(B18=Input!$I$19+96,Input!$I$18*(1+annual_incr_other1)^8,IF(B18=Input!$I$19+108,Input!$I$18*(1+annual_incr_other1)^9,IF(B18=Input!$I$19+120,Input!$I$18*(1+annual_incr_other1)^10,0))))))))))))</f>
        <v>0</v>
      </c>
      <c r="L18" s="156">
        <f>IF(OR(Input!$I$22="",B18&lt;Input!$I$22),0,IF(AND(B18&gt;=Input!$I$22,B18&lt;Input!$I$22+12),Input!$I$21,IF(B18=Input!$I$22+12,Input!$I$21*(1+annual_incr_other2),IF(B18=Input!$I$22+24,Input!$I$21*(1+annual_incr_other2)^2,IF(B18=Input!$I$22+36,Input!$I$21*(1+annual_incr_other2)^3,IF(B18=Input!$I$22+48,Input!$I$21*(1+annual_incr_other2)^4,IF(B18=Input!$I$22+60,Input!$I$21*(1+annual_incr_other2)^5,IF(B18=Input!$I$22+72,Input!$I$21*(1+annual_incr_other2)^6,IF(B18=Input!$I$22+84,Input!$I$21*(1+annual_incr_other2)^7,IF(B18=Input!$I$22+96,Input!$I$21*(1+annual_incr_other2)^8,IF(B18=Input!$I$22+108,Input!$I$21*(1+annual_incr_other2)^9,IF(B18=Input!$I$22+120,Input!$I$21*(1+annual_incr_other2)^10,L17))))))))))))</f>
        <v>563.75</v>
      </c>
      <c r="M18" s="139">
        <f>IF(OR(Input!$I$27="",B18&lt;Input!$I$27),0,E18*mgmt_fee)</f>
        <v>1368</v>
      </c>
      <c r="N18" s="139">
        <f>IF(OR(Input!$I$29="",B18&lt;Input!$I$29),0,E18*repairs_maint)</f>
        <v>1672</v>
      </c>
      <c r="O18" s="149">
        <f>IF(Input!$I$31="",0,IF(OR(B18=Input!$I$31,B18=Input!$I$31+12,B18=Input!$I$31+24,B18=Input!$I$31+36,B18=Input!$I$31+48,B18=Input!$I$31+60,B18=Input!$I$31+72,B18=Input!$I$31+84,B18=Input!$I$31+96,B18=Input!$I$31+108,B18=Input!$I$31+120),E18*other_3,0))</f>
        <v>1945.6000000000001</v>
      </c>
      <c r="P18" s="158">
        <f t="shared" si="13"/>
        <v>54644.349999999991</v>
      </c>
      <c r="Q18" s="159">
        <f t="shared" si="14"/>
        <v>97355.650000000009</v>
      </c>
      <c r="R18" s="160"/>
      <c r="S18" s="161">
        <f>IF(AND(leveraged_property,B18&lt;=amort_period),-IPMT(interest_rate/12,B18,amort_period,loan_amount),0)</f>
        <v>42904.774308594962</v>
      </c>
      <c r="T18" s="149">
        <f t="shared" si="15"/>
        <v>11035.180819370267</v>
      </c>
      <c r="U18" s="149">
        <f>IF(AND(leveraged_property,B18&lt;=amort_period),-PMT(interest_rate/12,amort_period,loan_amount),0)</f>
        <v>53939.95512796523</v>
      </c>
      <c r="V18" s="149">
        <f t="shared" si="16"/>
        <v>9350006.4865104388</v>
      </c>
      <c r="W18" s="160"/>
      <c r="X18" s="149">
        <f t="shared" si="17"/>
        <v>90562.5</v>
      </c>
      <c r="Y18" s="162">
        <f t="shared" si="18"/>
        <v>21039480</v>
      </c>
      <c r="Z18" s="156">
        <f t="shared" si="1"/>
        <v>20928316.325999998</v>
      </c>
      <c r="AA18" s="163">
        <f t="shared" ca="1" si="2"/>
        <v>20928316.325999998</v>
      </c>
      <c r="AB18" s="160"/>
      <c r="AC18" s="164">
        <f>Input!$C$25/12</f>
        <v>26538.461538461535</v>
      </c>
      <c r="AD18" s="139">
        <f t="shared" si="3"/>
        <v>27912.414152943511</v>
      </c>
      <c r="AE18" s="149">
        <f t="shared" si="4"/>
        <v>8373.7242458830533</v>
      </c>
      <c r="AF18" s="139">
        <f ca="1">IF(AA18=0,0,AA18-(total_initial_cost-SUM($AC$5:AC18)))</f>
        <v>599854.78753845766</v>
      </c>
      <c r="AG18" s="139">
        <f t="shared" ca="1" si="5"/>
        <v>119970.95750769154</v>
      </c>
      <c r="AH18" s="149">
        <f t="shared" ca="1" si="19"/>
        <v>20808345.368492305</v>
      </c>
      <c r="AI18" s="103"/>
      <c r="AJ18" s="165">
        <f t="shared" ca="1" si="6"/>
        <v>108345.36849230528</v>
      </c>
      <c r="AK18" s="165">
        <f t="shared" ca="1" si="22"/>
        <v>1030296.6313772522</v>
      </c>
      <c r="AL18" s="300">
        <f t="shared" ca="1" si="23"/>
        <v>9.1990770658683232E-2</v>
      </c>
      <c r="AM18" s="300">
        <f t="shared" si="24"/>
        <v>9.3878610577180097E-2</v>
      </c>
      <c r="AN18" s="300">
        <f t="shared" si="25"/>
        <v>8.2063763285024155E-2</v>
      </c>
      <c r="AO18" s="301">
        <f>IF(leveraged_property,SUM(Q7:Q18)/SUM(U7:U18),"N/A")</f>
        <v>2.6243995073936337</v>
      </c>
      <c r="AP18" s="103"/>
      <c r="AQ18" s="149">
        <f t="shared" si="20"/>
        <v>43415.694872034779</v>
      </c>
      <c r="AR18" s="149">
        <f t="shared" ca="1" si="7"/>
        <v>11621725.534361595</v>
      </c>
      <c r="AS18" s="288">
        <f ca="1">IF(down_payment&lt;=0,"N/A",IRR(($AQ$4:AQ17,AR18),))</f>
        <v>9.8804049265223022E-3</v>
      </c>
      <c r="AT18" s="290">
        <f t="shared" ca="1" si="8"/>
        <v>0.12522493122547917</v>
      </c>
      <c r="AU18" s="288">
        <f ca="1">IF(down_payment&lt;=0,"N/A",MIRR(($AQ$4:AQ17,AR18),finance_rate,reinvestment_rate))</f>
        <v>1.0127663754210925E-2</v>
      </c>
      <c r="AV18" s="290">
        <f t="shared" ca="1" si="9"/>
        <v>0.12853538375697893</v>
      </c>
      <c r="AW18" s="132"/>
      <c r="AX18" s="152">
        <f t="shared" si="10"/>
        <v>35041.970626151728</v>
      </c>
      <c r="AY18" s="296" t="str">
        <f>IF(AND(B18=$BA$4,OR(down_payment&lt;=0,purchase_date="")),"N/A",IF(B18=$BA$4,XIRR(AX$4:AX18,A$4:A18),""))</f>
        <v/>
      </c>
      <c r="BA18" s="169"/>
    </row>
    <row r="19" spans="1:53">
      <c r="A19" s="137">
        <f t="shared" si="21"/>
        <v>40617</v>
      </c>
      <c r="B19" s="138">
        <f t="shared" si="11"/>
        <v>15</v>
      </c>
      <c r="C19" s="139">
        <f>C18+(C18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19" s="139">
        <f t="shared" si="0"/>
        <v>8000</v>
      </c>
      <c r="E19" s="140">
        <f t="shared" si="12"/>
        <v>152000</v>
      </c>
      <c r="F19" s="141"/>
      <c r="G19" s="157">
        <f>IF(Input!$I$7="",0,IF(B19=Input!$I$7,Input!$I$6,IF(B19=Input!$I$7+12,Input!$I$6*(1+annual_incr_proptax),IF(B19=Input!$I$7+24,Input!$I$6*(1+annual_incr_proptax)^2,IF(B19=Input!$I$7+36,Input!$I$6*(1+annual_incr_proptax)^3,IF(B19=Input!$I$7+48,Input!$I$6*(1+annual_incr_proptax)^4,IF(B19=Input!$I$7+60,Input!$I$6*(1+annual_incr_proptax)^5,IF(B19=Input!$I$7+72,Input!$I$6*(1+annual_incr_proptax)^6,IF(B19=Input!$I$7+84,Input!$I$6*(1+annual_incr_proptax)^7,IF(B19=Input!$I$7+96,Input!$I$6*(1+annual_incr_proptax)^8,IF(B19=Input!$I$7+108,Input!$I$6*(1+annual_incr_proptax)^9,IF(B19=Input!$I$7+120,Input!$I$6*(1+annual_incr_proptax)^10,0))))))))))))</f>
        <v>0</v>
      </c>
      <c r="H19" s="139">
        <f>IF(Input!$I$10="",0,IF(B19=Input!$I$10,Input!$I$9,IF(B19=Input!$I$10+12,Input!$I$9*(1+annual_incr_ins),IF(B19=Input!$I$10+24,Input!$I$9*(1+annual_incr_ins)^2,IF(B19=Input!$I$10+36,Input!$I$9*(1+annual_incr_ins)^3,IF(B19=Input!$I$10+48,Input!$I$9*(1+annual_incr_ins)^4,IF(B19=Input!$I$10+60,Input!$I$9*(1+annual_incr_ins)^5,IF(B19=Input!$I$10+72,Input!$I$9*(1+annual_incr_ins)^6,IF(B19=Input!$I$10+84,Input!$I$9*(1+annual_incr_ins)^7,IF(B19=Input!$I$10+96,Input!$I$9*(1+annual_incr_ins)^8,IF(B19=Input!$I$10+108,Input!$I$9*(1+annual_incr_ins)^9,IF(B19=Input!$I$10+120,Input!$I$9*(1+annual_incr_ins)^10,0))))))))))))</f>
        <v>0</v>
      </c>
      <c r="I19" s="139">
        <f>IF(OR(Input!$I$13="",B19&lt;Input!$I$13),0,IF(AND(B19&gt;=Input!$I$13,B19&lt;Input!$I$13+12),Input!$I$12,IF(B19=Input!$I$13+12,Input!$I$12*(1+annual_incr_util),IF(B19=Input!$I$13+24,Input!$I$12*(1+annual_incr_util)^2,IF(B19=Input!$I$13+36,Input!$I$12*(1+annual_incr_util)^3,IF(B19=Input!$I$13+48,Input!$I$12*(1+annual_incr_util)^4,IF(B19=Input!$I$13+60,Input!$I$12*(1+annual_incr_util)^5,IF(B19=Input!$I$13+72,Input!$I$12*(1+annual_incr_util)^6,IF(B19=Input!$I$13+84,Input!$I$12*(1+annual_incr_util)^7,IF(B19=Input!$I$13+96,Input!$I$12*(1+annual_incr_util)^8,IF(B19=Input!$I$13+108,Input!$I$12*(1+annual_incr_util)^9,IF(B19=Input!$I$13+120,Input!$I$12*(1+annual_incr_util)^10,I18))))))))))))</f>
        <v>450</v>
      </c>
      <c r="J19" s="139">
        <f>IF(Input!$I$16="",0,IF(B19=Input!$I$16,Input!$I$15,IF(B19=Input!$I$16+12,Input!$I$15*(1+annual_incr_advtg),IF(B19=Input!$I$16+24,Input!$I$15*(1+annual_incr_advtg)^2,IF(B19=Input!$I$16+36,Input!$I$15*(1+annual_incr_advtg)^3,IF(B19=Input!$I$16+48,Input!$I$15*(1+annual_incr_advtg)^4,IF(B19=Input!$I$16+60,Input!$I$15*(1+annual_incr_advtg)^5,IF(B19=Input!$I$16+72,Input!$I$15*(1+annual_incr_advtg)^6,IF(B19=Input!$I$16+84,Input!$I$15*(1+annual_incr_advtg)^7,IF(B19=Input!$I$16+96,Input!$I$15*(1+annual_incr_advtg)^8,IF(B19=Input!$I$16+108,Input!$I$15*(1+annual_incr_advtg)^9,IF(B19=Input!$I$16+120,Input!$I$15*(1+annual_incr_advtg)^10,0))))))))))))</f>
        <v>0</v>
      </c>
      <c r="K19" s="139">
        <f>IF(Input!$I$19="",0,IF(B19=Input!$I$19,Input!$I$18,IF(B19=Input!$I$19+12,Input!$I$18*(1+annual_incr_other1),IF(B19=Input!$I$19+24,Input!$I$18*(1+annual_incr_other1)^2,IF(B19=Input!$I$19+36,Input!$I$18*(1+annual_incr_other1)^3,IF(B19=Input!$I$19+48,Input!$I$18*(1+annual_incr_other1)^4,IF(B19=Input!$I$19+60,Input!$I$18*(1+annual_incr_other1)^5,IF(B19=Input!$I$19+72,Input!$I$18*(1+annual_incr_other1)^6,IF(B19=Input!$I$19+84,Input!$I$18*(1+annual_incr_other1)^7,IF(B19=Input!$I$19+96,Input!$I$18*(1+annual_incr_other1)^8,IF(B19=Input!$I$19+108,Input!$I$18*(1+annual_incr_other1)^9,IF(B19=Input!$I$19+120,Input!$I$18*(1+annual_incr_other1)^10,0))))))))))))</f>
        <v>0</v>
      </c>
      <c r="L19" s="156">
        <f>IF(OR(Input!$I$22="",B19&lt;Input!$I$22),0,IF(AND(B19&gt;=Input!$I$22,B19&lt;Input!$I$22+12),Input!$I$21,IF(B19=Input!$I$22+12,Input!$I$21*(1+annual_incr_other2),IF(B19=Input!$I$22+24,Input!$I$21*(1+annual_incr_other2)^2,IF(B19=Input!$I$22+36,Input!$I$21*(1+annual_incr_other2)^3,IF(B19=Input!$I$22+48,Input!$I$21*(1+annual_incr_other2)^4,IF(B19=Input!$I$22+60,Input!$I$21*(1+annual_incr_other2)^5,IF(B19=Input!$I$22+72,Input!$I$21*(1+annual_incr_other2)^6,IF(B19=Input!$I$22+84,Input!$I$21*(1+annual_incr_other2)^7,IF(B19=Input!$I$22+96,Input!$I$21*(1+annual_incr_other2)^8,IF(B19=Input!$I$22+108,Input!$I$21*(1+annual_incr_other2)^9,IF(B19=Input!$I$22+120,Input!$I$21*(1+annual_incr_other2)^10,L18))))))))))))</f>
        <v>563.75</v>
      </c>
      <c r="M19" s="139">
        <f>IF(OR(Input!$I$27="",B19&lt;Input!$I$27),0,E19*mgmt_fee)</f>
        <v>1368</v>
      </c>
      <c r="N19" s="139">
        <f>IF(OR(Input!$I$29="",B19&lt;Input!$I$29),0,E19*repairs_maint)</f>
        <v>1672</v>
      </c>
      <c r="O19" s="149">
        <f>IF(Input!$I$31="",0,IF(OR(B19=Input!$I$31,B19=Input!$I$31+12,B19=Input!$I$31+24,B19=Input!$I$31+36,B19=Input!$I$31+48,B19=Input!$I$31+60,B19=Input!$I$31+72,B19=Input!$I$31+84,B19=Input!$I$31+96,B19=Input!$I$31+108,B19=Input!$I$31+120),E19*other_3,0))</f>
        <v>0</v>
      </c>
      <c r="P19" s="158">
        <f t="shared" si="13"/>
        <v>4053.75</v>
      </c>
      <c r="Q19" s="159">
        <f t="shared" si="14"/>
        <v>147946.25</v>
      </c>
      <c r="R19" s="160"/>
      <c r="S19" s="161">
        <f>IF(AND(leveraged_property,B19&lt;=amort_period),-IPMT(interest_rate/12,B19,amort_period,loan_amount),0)</f>
        <v>42854.196396506188</v>
      </c>
      <c r="T19" s="149">
        <f t="shared" si="15"/>
        <v>11085.758731459042</v>
      </c>
      <c r="U19" s="149">
        <f>IF(AND(leveraged_property,B19&lt;=amort_period),-PMT(interest_rate/12,amort_period,loan_amount),0)</f>
        <v>53939.95512796523</v>
      </c>
      <c r="V19" s="149">
        <f t="shared" si="16"/>
        <v>9338920.7277789805</v>
      </c>
      <c r="W19" s="160"/>
      <c r="X19" s="149">
        <f t="shared" si="17"/>
        <v>90562.5</v>
      </c>
      <c r="Y19" s="162">
        <f t="shared" si="18"/>
        <v>21126420</v>
      </c>
      <c r="Z19" s="156">
        <f t="shared" si="1"/>
        <v>21231850.100999996</v>
      </c>
      <c r="AA19" s="163">
        <f t="shared" ca="1" si="2"/>
        <v>21231850.100999996</v>
      </c>
      <c r="AB19" s="160"/>
      <c r="AC19" s="164">
        <f>Input!$C$25/12</f>
        <v>26538.461538461535</v>
      </c>
      <c r="AD19" s="139">
        <f t="shared" si="3"/>
        <v>78553.592065032281</v>
      </c>
      <c r="AE19" s="149">
        <f t="shared" si="4"/>
        <v>23566.077619509684</v>
      </c>
      <c r="AF19" s="139">
        <f ca="1">IF(AA19=0,0,AA19-(total_initial_cost-SUM($AC$5:AC19)))</f>
        <v>929927.02407692</v>
      </c>
      <c r="AG19" s="139">
        <f t="shared" ca="1" si="5"/>
        <v>185985.40481538401</v>
      </c>
      <c r="AH19" s="149">
        <f t="shared" ca="1" si="19"/>
        <v>21045864.696184613</v>
      </c>
      <c r="AI19" s="103"/>
      <c r="AJ19" s="165">
        <f t="shared" ca="1" si="6"/>
        <v>345864.69618461281</v>
      </c>
      <c r="AK19" s="165">
        <f t="shared" ca="1" si="22"/>
        <v>1266948.0880023243</v>
      </c>
      <c r="AL19" s="300">
        <f t="shared" ca="1" si="23"/>
        <v>0.11312036500020753</v>
      </c>
      <c r="AM19" s="300">
        <f t="shared" si="24"/>
        <v>9.3715061470037248E-2</v>
      </c>
      <c r="AN19" s="300">
        <f t="shared" si="25"/>
        <v>8.1975272946859898E-2</v>
      </c>
      <c r="AO19" s="301">
        <f>IF(leveraged_property,SUM(Q8:Q19)/SUM(U8:U19),"N/A")</f>
        <v>2.621569585993603</v>
      </c>
      <c r="AP19" s="103"/>
      <c r="AQ19" s="149">
        <f t="shared" si="20"/>
        <v>94006.294872034778</v>
      </c>
      <c r="AR19" s="149">
        <f t="shared" ca="1" si="7"/>
        <v>11986935.66809305</v>
      </c>
      <c r="AS19" s="288">
        <f ca="1">IF(down_payment&lt;=0,"N/A",IRR(($AQ$4:AQ18,AR19),))</f>
        <v>1.1470314967654114E-2</v>
      </c>
      <c r="AT19" s="290">
        <f t="shared" ca="1" si="8"/>
        <v>0.1466680119307866</v>
      </c>
      <c r="AU19" s="288">
        <f ca="1">IF(down_payment&lt;=0,"N/A",MIRR(($AQ$4:AQ18,AR19),finance_rate,reinvestment_rate))</f>
        <v>1.1650812324351945E-2</v>
      </c>
      <c r="AV19" s="290">
        <f t="shared" ca="1" si="9"/>
        <v>0.14912590476185694</v>
      </c>
      <c r="AW19" s="132"/>
      <c r="AX19" s="152">
        <f t="shared" si="10"/>
        <v>70440.217252525093</v>
      </c>
      <c r="AY19" s="296" t="str">
        <f>IF(AND(B19=$BA$4,OR(down_payment&lt;=0,purchase_date="")),"N/A",IF(B19=$BA$4,XIRR(AX$4:AX19,A$4:A19),""))</f>
        <v/>
      </c>
      <c r="BA19" s="193"/>
    </row>
    <row r="20" spans="1:53">
      <c r="A20" s="137">
        <f t="shared" si="21"/>
        <v>40648</v>
      </c>
      <c r="B20" s="138">
        <f t="shared" si="11"/>
        <v>16</v>
      </c>
      <c r="C20" s="139">
        <f>C19+(C19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20" s="139">
        <f t="shared" si="0"/>
        <v>8000</v>
      </c>
      <c r="E20" s="140">
        <f t="shared" si="12"/>
        <v>152000</v>
      </c>
      <c r="F20" s="141"/>
      <c r="G20" s="157">
        <f>IF(Input!$I$7="",0,IF(B20=Input!$I$7,Input!$I$6,IF(B20=Input!$I$7+12,Input!$I$6*(1+annual_incr_proptax),IF(B20=Input!$I$7+24,Input!$I$6*(1+annual_incr_proptax)^2,IF(B20=Input!$I$7+36,Input!$I$6*(1+annual_incr_proptax)^3,IF(B20=Input!$I$7+48,Input!$I$6*(1+annual_incr_proptax)^4,IF(B20=Input!$I$7+60,Input!$I$6*(1+annual_incr_proptax)^5,IF(B20=Input!$I$7+72,Input!$I$6*(1+annual_incr_proptax)^6,IF(B20=Input!$I$7+84,Input!$I$6*(1+annual_incr_proptax)^7,IF(B20=Input!$I$7+96,Input!$I$6*(1+annual_incr_proptax)^8,IF(B20=Input!$I$7+108,Input!$I$6*(1+annual_incr_proptax)^9,IF(B20=Input!$I$7+120,Input!$I$6*(1+annual_incr_proptax)^10,0))))))))))))</f>
        <v>0</v>
      </c>
      <c r="H20" s="139">
        <f>IF(Input!$I$10="",0,IF(B20=Input!$I$10,Input!$I$9,IF(B20=Input!$I$10+12,Input!$I$9*(1+annual_incr_ins),IF(B20=Input!$I$10+24,Input!$I$9*(1+annual_incr_ins)^2,IF(B20=Input!$I$10+36,Input!$I$9*(1+annual_incr_ins)^3,IF(B20=Input!$I$10+48,Input!$I$9*(1+annual_incr_ins)^4,IF(B20=Input!$I$10+60,Input!$I$9*(1+annual_incr_ins)^5,IF(B20=Input!$I$10+72,Input!$I$9*(1+annual_incr_ins)^6,IF(B20=Input!$I$10+84,Input!$I$9*(1+annual_incr_ins)^7,IF(B20=Input!$I$10+96,Input!$I$9*(1+annual_incr_ins)^8,IF(B20=Input!$I$10+108,Input!$I$9*(1+annual_incr_ins)^9,IF(B20=Input!$I$10+120,Input!$I$9*(1+annual_incr_ins)^10,0))))))))))))</f>
        <v>0</v>
      </c>
      <c r="I20" s="139">
        <f>IF(OR(Input!$I$13="",B20&lt;Input!$I$13),0,IF(AND(B20&gt;=Input!$I$13,B20&lt;Input!$I$13+12),Input!$I$12,IF(B20=Input!$I$13+12,Input!$I$12*(1+annual_incr_util),IF(B20=Input!$I$13+24,Input!$I$12*(1+annual_incr_util)^2,IF(B20=Input!$I$13+36,Input!$I$12*(1+annual_incr_util)^3,IF(B20=Input!$I$13+48,Input!$I$12*(1+annual_incr_util)^4,IF(B20=Input!$I$13+60,Input!$I$12*(1+annual_incr_util)^5,IF(B20=Input!$I$13+72,Input!$I$12*(1+annual_incr_util)^6,IF(B20=Input!$I$13+84,Input!$I$12*(1+annual_incr_util)^7,IF(B20=Input!$I$13+96,Input!$I$12*(1+annual_incr_util)^8,IF(B20=Input!$I$13+108,Input!$I$12*(1+annual_incr_util)^9,IF(B20=Input!$I$13+120,Input!$I$12*(1+annual_incr_util)^10,I19))))))))))))</f>
        <v>464.625</v>
      </c>
      <c r="J20" s="139">
        <f>IF(Input!$I$16="",0,IF(B20=Input!$I$16,Input!$I$15,IF(B20=Input!$I$16+12,Input!$I$15*(1+annual_incr_advtg),IF(B20=Input!$I$16+24,Input!$I$15*(1+annual_incr_advtg)^2,IF(B20=Input!$I$16+36,Input!$I$15*(1+annual_incr_advtg)^3,IF(B20=Input!$I$16+48,Input!$I$15*(1+annual_incr_advtg)^4,IF(B20=Input!$I$16+60,Input!$I$15*(1+annual_incr_advtg)^5,IF(B20=Input!$I$16+72,Input!$I$15*(1+annual_incr_advtg)^6,IF(B20=Input!$I$16+84,Input!$I$15*(1+annual_incr_advtg)^7,IF(B20=Input!$I$16+96,Input!$I$15*(1+annual_incr_advtg)^8,IF(B20=Input!$I$16+108,Input!$I$15*(1+annual_incr_advtg)^9,IF(B20=Input!$I$16+120,Input!$I$15*(1+annual_incr_advtg)^10,0))))))))))))</f>
        <v>0</v>
      </c>
      <c r="K20" s="139">
        <f>IF(Input!$I$19="",0,IF(B20=Input!$I$19,Input!$I$18,IF(B20=Input!$I$19+12,Input!$I$18*(1+annual_incr_other1),IF(B20=Input!$I$19+24,Input!$I$18*(1+annual_incr_other1)^2,IF(B20=Input!$I$19+36,Input!$I$18*(1+annual_incr_other1)^3,IF(B20=Input!$I$19+48,Input!$I$18*(1+annual_incr_other1)^4,IF(B20=Input!$I$19+60,Input!$I$18*(1+annual_incr_other1)^5,IF(B20=Input!$I$19+72,Input!$I$18*(1+annual_incr_other1)^6,IF(B20=Input!$I$19+84,Input!$I$18*(1+annual_incr_other1)^7,IF(B20=Input!$I$19+96,Input!$I$18*(1+annual_incr_other1)^8,IF(B20=Input!$I$19+108,Input!$I$18*(1+annual_incr_other1)^9,IF(B20=Input!$I$19+120,Input!$I$18*(1+annual_incr_other1)^10,0))))))))))))</f>
        <v>0</v>
      </c>
      <c r="L20" s="156">
        <f>IF(OR(Input!$I$22="",B20&lt;Input!$I$22),0,IF(AND(B20&gt;=Input!$I$22,B20&lt;Input!$I$22+12),Input!$I$21,IF(B20=Input!$I$22+12,Input!$I$21*(1+annual_incr_other2),IF(B20=Input!$I$22+24,Input!$I$21*(1+annual_incr_other2)^2,IF(B20=Input!$I$22+36,Input!$I$21*(1+annual_incr_other2)^3,IF(B20=Input!$I$22+48,Input!$I$21*(1+annual_incr_other2)^4,IF(B20=Input!$I$22+60,Input!$I$21*(1+annual_incr_other2)^5,IF(B20=Input!$I$22+72,Input!$I$21*(1+annual_incr_other2)^6,IF(B20=Input!$I$22+84,Input!$I$21*(1+annual_incr_other2)^7,IF(B20=Input!$I$22+96,Input!$I$21*(1+annual_incr_other2)^8,IF(B20=Input!$I$22+108,Input!$I$21*(1+annual_incr_other2)^9,IF(B20=Input!$I$22+120,Input!$I$21*(1+annual_incr_other2)^10,L19))))))))))))</f>
        <v>563.75</v>
      </c>
      <c r="M20" s="139">
        <f>IF(OR(Input!$I$27="",B20&lt;Input!$I$27),0,E20*mgmt_fee)</f>
        <v>1368</v>
      </c>
      <c r="N20" s="139">
        <f>IF(OR(Input!$I$29="",B20&lt;Input!$I$29),0,E20*repairs_maint)</f>
        <v>1672</v>
      </c>
      <c r="O20" s="149">
        <f>IF(Input!$I$31="",0,IF(OR(B20=Input!$I$31,B20=Input!$I$31+12,B20=Input!$I$31+24,B20=Input!$I$31+36,B20=Input!$I$31+48,B20=Input!$I$31+60,B20=Input!$I$31+72,B20=Input!$I$31+84,B20=Input!$I$31+96,B20=Input!$I$31+108,B20=Input!$I$31+120),E20*other_3,0))</f>
        <v>0</v>
      </c>
      <c r="P20" s="158">
        <f t="shared" si="13"/>
        <v>4068.375</v>
      </c>
      <c r="Q20" s="159">
        <f t="shared" si="14"/>
        <v>147931.625</v>
      </c>
      <c r="R20" s="160"/>
      <c r="S20" s="161">
        <f>IF(AND(leveraged_property,B20&lt;=amort_period),-IPMT(interest_rate/12,B20,amort_period,loan_amount),0)</f>
        <v>42803.386668986997</v>
      </c>
      <c r="T20" s="149">
        <f t="shared" si="15"/>
        <v>11136.568458978232</v>
      </c>
      <c r="U20" s="149">
        <f>IF(AND(leveraged_property,B20&lt;=amort_period),-PMT(interest_rate/12,amort_period,loan_amount),0)</f>
        <v>53939.95512796523</v>
      </c>
      <c r="V20" s="149">
        <f t="shared" si="16"/>
        <v>9327784.1593200024</v>
      </c>
      <c r="W20" s="160"/>
      <c r="X20" s="149">
        <f t="shared" si="17"/>
        <v>90562.5</v>
      </c>
      <c r="Y20" s="162">
        <f t="shared" si="18"/>
        <v>21213360</v>
      </c>
      <c r="Z20" s="156">
        <f t="shared" si="1"/>
        <v>21535378.172249999</v>
      </c>
      <c r="AA20" s="163">
        <f t="shared" ca="1" si="2"/>
        <v>21535378.172249999</v>
      </c>
      <c r="AB20" s="160"/>
      <c r="AC20" s="164">
        <f>Input!$C$25/12</f>
        <v>26538.461538461535</v>
      </c>
      <c r="AD20" s="139">
        <f t="shared" si="3"/>
        <v>78589.776792551478</v>
      </c>
      <c r="AE20" s="149">
        <f t="shared" si="4"/>
        <v>23576.933037765444</v>
      </c>
      <c r="AF20" s="139">
        <f ca="1">IF(AA20=0,0,AA20-(total_initial_cost-SUM($AC$5:AC20)))</f>
        <v>1259993.5568653829</v>
      </c>
      <c r="AG20" s="139">
        <f t="shared" ca="1" si="5"/>
        <v>251998.7113730766</v>
      </c>
      <c r="AH20" s="149">
        <f t="shared" ca="1" si="19"/>
        <v>21283379.460876923</v>
      </c>
      <c r="AI20" s="103"/>
      <c r="AJ20" s="165">
        <f t="shared" ca="1" si="6"/>
        <v>583379.46087692305</v>
      </c>
      <c r="AK20" s="165">
        <f t="shared" ca="1" si="22"/>
        <v>1504859.2432495912</v>
      </c>
      <c r="AL20" s="300">
        <f t="shared" ca="1" si="23"/>
        <v>0.13436243243299922</v>
      </c>
      <c r="AM20" s="300">
        <f t="shared" si="24"/>
        <v>9.3712527987894381E-2</v>
      </c>
      <c r="AN20" s="300">
        <f t="shared" si="25"/>
        <v>8.1973902173913038E-2</v>
      </c>
      <c r="AO20" s="301">
        <f>IF(leveraged_property,SUM(Q9:Q20)/SUM(U9:U20),"N/A")</f>
        <v>2.6215257486687902</v>
      </c>
      <c r="AP20" s="103"/>
      <c r="AQ20" s="149">
        <f t="shared" si="20"/>
        <v>93991.669872034778</v>
      </c>
      <c r="AR20" s="149">
        <f t="shared" ca="1" si="7"/>
        <v>12301585.682802031</v>
      </c>
      <c r="AS20" s="288">
        <f ca="1">IF(down_payment&lt;=0,"N/A",IRR(($AQ$4:AQ19,AR20),))</f>
        <v>1.2809824482652787E-2</v>
      </c>
      <c r="AT20" s="290">
        <f t="shared" ca="1" si="8"/>
        <v>0.16502398192789869</v>
      </c>
      <c r="AU20" s="288">
        <f ca="1">IF(down_payment&lt;=0,"N/A",MIRR(($AQ$4:AQ19,AR20),finance_rate,reinvestment_rate))</f>
        <v>1.2927976494478743E-2</v>
      </c>
      <c r="AV20" s="290">
        <f t="shared" ca="1" si="9"/>
        <v>0.16665593624179031</v>
      </c>
      <c r="AW20" s="132"/>
      <c r="AX20" s="152">
        <f t="shared" si="10"/>
        <v>70414.736834269337</v>
      </c>
      <c r="AY20" s="296" t="str">
        <f>IF(AND(B20=$BA$4,OR(down_payment&lt;=0,purchase_date="")),"N/A",IF(B20=$BA$4,XIRR(AX$4:AX20,A$4:A20),""))</f>
        <v/>
      </c>
      <c r="BA20" s="178"/>
    </row>
    <row r="21" spans="1:53">
      <c r="A21" s="137">
        <f t="shared" si="21"/>
        <v>40678</v>
      </c>
      <c r="B21" s="138">
        <f t="shared" si="11"/>
        <v>17</v>
      </c>
      <c r="C21" s="139">
        <f>C20+(C20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21" s="139">
        <f t="shared" si="0"/>
        <v>8000</v>
      </c>
      <c r="E21" s="140">
        <f t="shared" si="12"/>
        <v>152000</v>
      </c>
      <c r="F21" s="141"/>
      <c r="G21" s="157">
        <f>IF(Input!$I$7="",0,IF(B21=Input!$I$7,Input!$I$6,IF(B21=Input!$I$7+12,Input!$I$6*(1+annual_incr_proptax),IF(B21=Input!$I$7+24,Input!$I$6*(1+annual_incr_proptax)^2,IF(B21=Input!$I$7+36,Input!$I$6*(1+annual_incr_proptax)^3,IF(B21=Input!$I$7+48,Input!$I$6*(1+annual_incr_proptax)^4,IF(B21=Input!$I$7+60,Input!$I$6*(1+annual_incr_proptax)^5,IF(B21=Input!$I$7+72,Input!$I$6*(1+annual_incr_proptax)^6,IF(B21=Input!$I$7+84,Input!$I$6*(1+annual_incr_proptax)^7,IF(B21=Input!$I$7+96,Input!$I$6*(1+annual_incr_proptax)^8,IF(B21=Input!$I$7+108,Input!$I$6*(1+annual_incr_proptax)^9,IF(B21=Input!$I$7+120,Input!$I$6*(1+annual_incr_proptax)^10,0))))))))))))</f>
        <v>0</v>
      </c>
      <c r="H21" s="139">
        <f>IF(Input!$I$10="",0,IF(B21=Input!$I$10,Input!$I$9,IF(B21=Input!$I$10+12,Input!$I$9*(1+annual_incr_ins),IF(B21=Input!$I$10+24,Input!$I$9*(1+annual_incr_ins)^2,IF(B21=Input!$I$10+36,Input!$I$9*(1+annual_incr_ins)^3,IF(B21=Input!$I$10+48,Input!$I$9*(1+annual_incr_ins)^4,IF(B21=Input!$I$10+60,Input!$I$9*(1+annual_incr_ins)^5,IF(B21=Input!$I$10+72,Input!$I$9*(1+annual_incr_ins)^6,IF(B21=Input!$I$10+84,Input!$I$9*(1+annual_incr_ins)^7,IF(B21=Input!$I$10+96,Input!$I$9*(1+annual_incr_ins)^8,IF(B21=Input!$I$10+108,Input!$I$9*(1+annual_incr_ins)^9,IF(B21=Input!$I$10+120,Input!$I$9*(1+annual_incr_ins)^10,0))))))))))))</f>
        <v>0</v>
      </c>
      <c r="I21" s="139">
        <f>IF(OR(Input!$I$13="",B21&lt;Input!$I$13),0,IF(AND(B21&gt;=Input!$I$13,B21&lt;Input!$I$13+12),Input!$I$12,IF(B21=Input!$I$13+12,Input!$I$12*(1+annual_incr_util),IF(B21=Input!$I$13+24,Input!$I$12*(1+annual_incr_util)^2,IF(B21=Input!$I$13+36,Input!$I$12*(1+annual_incr_util)^3,IF(B21=Input!$I$13+48,Input!$I$12*(1+annual_incr_util)^4,IF(B21=Input!$I$13+60,Input!$I$12*(1+annual_incr_util)^5,IF(B21=Input!$I$13+72,Input!$I$12*(1+annual_incr_util)^6,IF(B21=Input!$I$13+84,Input!$I$12*(1+annual_incr_util)^7,IF(B21=Input!$I$13+96,Input!$I$12*(1+annual_incr_util)^8,IF(B21=Input!$I$13+108,Input!$I$12*(1+annual_incr_util)^9,IF(B21=Input!$I$13+120,Input!$I$12*(1+annual_incr_util)^10,I20))))))))))))</f>
        <v>464.625</v>
      </c>
      <c r="J21" s="139">
        <f>IF(Input!$I$16="",0,IF(B21=Input!$I$16,Input!$I$15,IF(B21=Input!$I$16+12,Input!$I$15*(1+annual_incr_advtg),IF(B21=Input!$I$16+24,Input!$I$15*(1+annual_incr_advtg)^2,IF(B21=Input!$I$16+36,Input!$I$15*(1+annual_incr_advtg)^3,IF(B21=Input!$I$16+48,Input!$I$15*(1+annual_incr_advtg)^4,IF(B21=Input!$I$16+60,Input!$I$15*(1+annual_incr_advtg)^5,IF(B21=Input!$I$16+72,Input!$I$15*(1+annual_incr_advtg)^6,IF(B21=Input!$I$16+84,Input!$I$15*(1+annual_incr_advtg)^7,IF(B21=Input!$I$16+96,Input!$I$15*(1+annual_incr_advtg)^8,IF(B21=Input!$I$16+108,Input!$I$15*(1+annual_incr_advtg)^9,IF(B21=Input!$I$16+120,Input!$I$15*(1+annual_incr_advtg)^10,0))))))))))))</f>
        <v>0</v>
      </c>
      <c r="K21" s="139">
        <f>IF(Input!$I$19="",0,IF(B21=Input!$I$19,Input!$I$18,IF(B21=Input!$I$19+12,Input!$I$18*(1+annual_incr_other1),IF(B21=Input!$I$19+24,Input!$I$18*(1+annual_incr_other1)^2,IF(B21=Input!$I$19+36,Input!$I$18*(1+annual_incr_other1)^3,IF(B21=Input!$I$19+48,Input!$I$18*(1+annual_incr_other1)^4,IF(B21=Input!$I$19+60,Input!$I$18*(1+annual_incr_other1)^5,IF(B21=Input!$I$19+72,Input!$I$18*(1+annual_incr_other1)^6,IF(B21=Input!$I$19+84,Input!$I$18*(1+annual_incr_other1)^7,IF(B21=Input!$I$19+96,Input!$I$18*(1+annual_incr_other1)^8,IF(B21=Input!$I$19+108,Input!$I$18*(1+annual_incr_other1)^9,IF(B21=Input!$I$19+120,Input!$I$18*(1+annual_incr_other1)^10,0))))))))))))</f>
        <v>4680</v>
      </c>
      <c r="L21" s="156">
        <f>IF(OR(Input!$I$22="",B21&lt;Input!$I$22),0,IF(AND(B21&gt;=Input!$I$22,B21&lt;Input!$I$22+12),Input!$I$21,IF(B21=Input!$I$22+12,Input!$I$21*(1+annual_incr_other2),IF(B21=Input!$I$22+24,Input!$I$21*(1+annual_incr_other2)^2,IF(B21=Input!$I$22+36,Input!$I$21*(1+annual_incr_other2)^3,IF(B21=Input!$I$22+48,Input!$I$21*(1+annual_incr_other2)^4,IF(B21=Input!$I$22+60,Input!$I$21*(1+annual_incr_other2)^5,IF(B21=Input!$I$22+72,Input!$I$21*(1+annual_incr_other2)^6,IF(B21=Input!$I$22+84,Input!$I$21*(1+annual_incr_other2)^7,IF(B21=Input!$I$22+96,Input!$I$21*(1+annual_incr_other2)^8,IF(B21=Input!$I$22+108,Input!$I$21*(1+annual_incr_other2)^9,IF(B21=Input!$I$22+120,Input!$I$21*(1+annual_incr_other2)^10,L20))))))))))))</f>
        <v>563.75</v>
      </c>
      <c r="M21" s="139">
        <f>IF(OR(Input!$I$27="",B21&lt;Input!$I$27),0,E21*mgmt_fee)</f>
        <v>1368</v>
      </c>
      <c r="N21" s="139">
        <f>IF(OR(Input!$I$29="",B21&lt;Input!$I$29),0,E21*repairs_maint)</f>
        <v>1672</v>
      </c>
      <c r="O21" s="149">
        <f>IF(Input!$I$31="",0,IF(OR(B21=Input!$I$31,B21=Input!$I$31+12,B21=Input!$I$31+24,B21=Input!$I$31+36,B21=Input!$I$31+48,B21=Input!$I$31+60,B21=Input!$I$31+72,B21=Input!$I$31+84,B21=Input!$I$31+96,B21=Input!$I$31+108,B21=Input!$I$31+120),E21*other_3,0))</f>
        <v>0</v>
      </c>
      <c r="P21" s="158">
        <f t="shared" si="13"/>
        <v>8748.375</v>
      </c>
      <c r="Q21" s="159">
        <f t="shared" si="14"/>
        <v>143251.625</v>
      </c>
      <c r="R21" s="160"/>
      <c r="S21" s="161">
        <f>IF(AND(leveraged_property,B21&lt;=amort_period),-IPMT(interest_rate/12,B21,amort_period,loan_amount),0)</f>
        <v>42752.344063550008</v>
      </c>
      <c r="T21" s="149">
        <f t="shared" si="15"/>
        <v>11187.611064415221</v>
      </c>
      <c r="U21" s="149">
        <f>IF(AND(leveraged_property,B21&lt;=amort_period),-PMT(interest_rate/12,amort_period,loan_amount),0)</f>
        <v>53939.95512796523</v>
      </c>
      <c r="V21" s="149">
        <f t="shared" si="16"/>
        <v>9316596.548255587</v>
      </c>
      <c r="W21" s="160"/>
      <c r="X21" s="149">
        <f t="shared" si="17"/>
        <v>90562.5</v>
      </c>
      <c r="Y21" s="162">
        <f t="shared" si="18"/>
        <v>21300300</v>
      </c>
      <c r="Z21" s="156">
        <f t="shared" si="1"/>
        <v>21836659.843499996</v>
      </c>
      <c r="AA21" s="163">
        <f t="shared" ca="1" si="2"/>
        <v>21836659.843499996</v>
      </c>
      <c r="AB21" s="160"/>
      <c r="AC21" s="164">
        <f>Input!$C$25/12</f>
        <v>26538.461538461535</v>
      </c>
      <c r="AD21" s="139">
        <f t="shared" si="3"/>
        <v>73960.819397988467</v>
      </c>
      <c r="AE21" s="149">
        <f t="shared" si="4"/>
        <v>22188.245819396539</v>
      </c>
      <c r="AF21" s="139">
        <f ca="1">IF(AA21=0,0,AA21-(total_initial_cost-SUM($AC$5:AC21)))</f>
        <v>1587813.6896538436</v>
      </c>
      <c r="AG21" s="139">
        <f t="shared" ca="1" si="5"/>
        <v>317562.73793076875</v>
      </c>
      <c r="AH21" s="149">
        <f t="shared" ca="1" si="19"/>
        <v>21519097.105569229</v>
      </c>
      <c r="AI21" s="103"/>
      <c r="AJ21" s="165">
        <f t="shared" ca="1" si="6"/>
        <v>819097.10556922853</v>
      </c>
      <c r="AK21" s="165">
        <f t="shared" ca="1" si="22"/>
        <v>1740849.1863233552</v>
      </c>
      <c r="AL21" s="300">
        <f t="shared" ca="1" si="23"/>
        <v>0.15543296306458529</v>
      </c>
      <c r="AM21" s="300">
        <f t="shared" si="24"/>
        <v>9.3693923077180094E-2</v>
      </c>
      <c r="AN21" s="300">
        <f t="shared" si="25"/>
        <v>8.1963835748792263E-2</v>
      </c>
      <c r="AO21" s="301">
        <f>IF(leveraged_property,SUM(Q10:Q21)/SUM(U10:U21),"N/A")</f>
        <v>2.6212038243495699</v>
      </c>
      <c r="AP21" s="103"/>
      <c r="AQ21" s="149">
        <f t="shared" si="20"/>
        <v>89311.669872034778</v>
      </c>
      <c r="AR21" s="149">
        <f t="shared" ca="1" si="7"/>
        <v>12609374.965116443</v>
      </c>
      <c r="AS21" s="288">
        <f ca="1">IF(down_payment&lt;=0,"N/A",IRR(($AQ$4:AQ20,AR21),))</f>
        <v>1.3914658811112849E-2</v>
      </c>
      <c r="AT21" s="290">
        <f t="shared" ca="1" si="8"/>
        <v>0.18036635971727932</v>
      </c>
      <c r="AU21" s="288">
        <f ca="1">IF(down_payment&lt;=0,"N/A",MIRR(($AQ$4:AQ20,AR21),finance_rate,reinvestment_rate))</f>
        <v>1.3976239250808709E-2</v>
      </c>
      <c r="AV21" s="290">
        <f t="shared" ca="1" si="9"/>
        <v>0.18122692640766314</v>
      </c>
      <c r="AW21" s="132"/>
      <c r="AX21" s="152">
        <f t="shared" si="10"/>
        <v>67123.424052638235</v>
      </c>
      <c r="AY21" s="296" t="str">
        <f>IF(AND(B21=$BA$4,OR(down_payment&lt;=0,purchase_date="")),"N/A",IF(B21=$BA$4,XIRR(AX$4:AX21,A$4:A21),""))</f>
        <v/>
      </c>
      <c r="BA21" s="178"/>
    </row>
    <row r="22" spans="1:53">
      <c r="A22" s="137">
        <f t="shared" si="21"/>
        <v>40709</v>
      </c>
      <c r="B22" s="138">
        <f t="shared" si="11"/>
        <v>18</v>
      </c>
      <c r="C22" s="139">
        <f>C21+(C21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22" s="139">
        <f t="shared" si="0"/>
        <v>8000</v>
      </c>
      <c r="E22" s="140">
        <f t="shared" si="12"/>
        <v>152000</v>
      </c>
      <c r="F22" s="141"/>
      <c r="G22" s="157">
        <f>IF(Input!$I$7="",0,IF(B22=Input!$I$7,Input!$I$6,IF(B22=Input!$I$7+12,Input!$I$6*(1+annual_incr_proptax),IF(B22=Input!$I$7+24,Input!$I$6*(1+annual_incr_proptax)^2,IF(B22=Input!$I$7+36,Input!$I$6*(1+annual_incr_proptax)^3,IF(B22=Input!$I$7+48,Input!$I$6*(1+annual_incr_proptax)^4,IF(B22=Input!$I$7+60,Input!$I$6*(1+annual_incr_proptax)^5,IF(B22=Input!$I$7+72,Input!$I$6*(1+annual_incr_proptax)^6,IF(B22=Input!$I$7+84,Input!$I$6*(1+annual_incr_proptax)^7,IF(B22=Input!$I$7+96,Input!$I$6*(1+annual_incr_proptax)^8,IF(B22=Input!$I$7+108,Input!$I$6*(1+annual_incr_proptax)^9,IF(B22=Input!$I$7+120,Input!$I$6*(1+annual_incr_proptax)^10,0))))))))))))</f>
        <v>0</v>
      </c>
      <c r="H22" s="139">
        <f>IF(Input!$I$10="",0,IF(B22=Input!$I$10,Input!$I$9,IF(B22=Input!$I$10+12,Input!$I$9*(1+annual_incr_ins),IF(B22=Input!$I$10+24,Input!$I$9*(1+annual_incr_ins)^2,IF(B22=Input!$I$10+36,Input!$I$9*(1+annual_incr_ins)^3,IF(B22=Input!$I$10+48,Input!$I$9*(1+annual_incr_ins)^4,IF(B22=Input!$I$10+60,Input!$I$9*(1+annual_incr_ins)^5,IF(B22=Input!$I$10+72,Input!$I$9*(1+annual_incr_ins)^6,IF(B22=Input!$I$10+84,Input!$I$9*(1+annual_incr_ins)^7,IF(B22=Input!$I$10+96,Input!$I$9*(1+annual_incr_ins)^8,IF(B22=Input!$I$10+108,Input!$I$9*(1+annual_incr_ins)^9,IF(B22=Input!$I$10+120,Input!$I$9*(1+annual_incr_ins)^10,0))))))))))))</f>
        <v>12330.000000000002</v>
      </c>
      <c r="I22" s="139">
        <f>IF(OR(Input!$I$13="",B22&lt;Input!$I$13),0,IF(AND(B22&gt;=Input!$I$13,B22&lt;Input!$I$13+12),Input!$I$12,IF(B22=Input!$I$13+12,Input!$I$12*(1+annual_incr_util),IF(B22=Input!$I$13+24,Input!$I$12*(1+annual_incr_util)^2,IF(B22=Input!$I$13+36,Input!$I$12*(1+annual_incr_util)^3,IF(B22=Input!$I$13+48,Input!$I$12*(1+annual_incr_util)^4,IF(B22=Input!$I$13+60,Input!$I$12*(1+annual_incr_util)^5,IF(B22=Input!$I$13+72,Input!$I$12*(1+annual_incr_util)^6,IF(B22=Input!$I$13+84,Input!$I$12*(1+annual_incr_util)^7,IF(B22=Input!$I$13+96,Input!$I$12*(1+annual_incr_util)^8,IF(B22=Input!$I$13+108,Input!$I$12*(1+annual_incr_util)^9,IF(B22=Input!$I$13+120,Input!$I$12*(1+annual_incr_util)^10,I21))))))))))))</f>
        <v>464.625</v>
      </c>
      <c r="J22" s="139">
        <f>IF(Input!$I$16="",0,IF(B22=Input!$I$16,Input!$I$15,IF(B22=Input!$I$16+12,Input!$I$15*(1+annual_incr_advtg),IF(B22=Input!$I$16+24,Input!$I$15*(1+annual_incr_advtg)^2,IF(B22=Input!$I$16+36,Input!$I$15*(1+annual_incr_advtg)^3,IF(B22=Input!$I$16+48,Input!$I$15*(1+annual_incr_advtg)^4,IF(B22=Input!$I$16+60,Input!$I$15*(1+annual_incr_advtg)^5,IF(B22=Input!$I$16+72,Input!$I$15*(1+annual_incr_advtg)^6,IF(B22=Input!$I$16+84,Input!$I$15*(1+annual_incr_advtg)^7,IF(B22=Input!$I$16+96,Input!$I$15*(1+annual_incr_advtg)^8,IF(B22=Input!$I$16+108,Input!$I$15*(1+annual_incr_advtg)^9,IF(B22=Input!$I$16+120,Input!$I$15*(1+annual_incr_advtg)^10,0))))))))))))</f>
        <v>0</v>
      </c>
      <c r="K22" s="139">
        <f>IF(Input!$I$19="",0,IF(B22=Input!$I$19,Input!$I$18,IF(B22=Input!$I$19+12,Input!$I$18*(1+annual_incr_other1),IF(B22=Input!$I$19+24,Input!$I$18*(1+annual_incr_other1)^2,IF(B22=Input!$I$19+36,Input!$I$18*(1+annual_incr_other1)^3,IF(B22=Input!$I$19+48,Input!$I$18*(1+annual_incr_other1)^4,IF(B22=Input!$I$19+60,Input!$I$18*(1+annual_incr_other1)^5,IF(B22=Input!$I$19+72,Input!$I$18*(1+annual_incr_other1)^6,IF(B22=Input!$I$19+84,Input!$I$18*(1+annual_incr_other1)^7,IF(B22=Input!$I$19+96,Input!$I$18*(1+annual_incr_other1)^8,IF(B22=Input!$I$19+108,Input!$I$18*(1+annual_incr_other1)^9,IF(B22=Input!$I$19+120,Input!$I$18*(1+annual_incr_other1)^10,0))))))))))))</f>
        <v>0</v>
      </c>
      <c r="L22" s="156">
        <f>IF(OR(Input!$I$22="",B22&lt;Input!$I$22),0,IF(AND(B22&gt;=Input!$I$22,B22&lt;Input!$I$22+12),Input!$I$21,IF(B22=Input!$I$22+12,Input!$I$21*(1+annual_incr_other2),IF(B22=Input!$I$22+24,Input!$I$21*(1+annual_incr_other2)^2,IF(B22=Input!$I$22+36,Input!$I$21*(1+annual_incr_other2)^3,IF(B22=Input!$I$22+48,Input!$I$21*(1+annual_incr_other2)^4,IF(B22=Input!$I$22+60,Input!$I$21*(1+annual_incr_other2)^5,IF(B22=Input!$I$22+72,Input!$I$21*(1+annual_incr_other2)^6,IF(B22=Input!$I$22+84,Input!$I$21*(1+annual_incr_other2)^7,IF(B22=Input!$I$22+96,Input!$I$21*(1+annual_incr_other2)^8,IF(B22=Input!$I$22+108,Input!$I$21*(1+annual_incr_other2)^9,IF(B22=Input!$I$22+120,Input!$I$21*(1+annual_incr_other2)^10,L21))))))))))))</f>
        <v>563.75</v>
      </c>
      <c r="M22" s="139">
        <f>IF(OR(Input!$I$27="",B22&lt;Input!$I$27),0,E22*mgmt_fee)</f>
        <v>1368</v>
      </c>
      <c r="N22" s="139">
        <f>IF(OR(Input!$I$29="",B22&lt;Input!$I$29),0,E22*repairs_maint)</f>
        <v>1672</v>
      </c>
      <c r="O22" s="149">
        <f>IF(Input!$I$31="",0,IF(OR(B22=Input!$I$31,B22=Input!$I$31+12,B22=Input!$I$31+24,B22=Input!$I$31+36,B22=Input!$I$31+48,B22=Input!$I$31+60,B22=Input!$I$31+72,B22=Input!$I$31+84,B22=Input!$I$31+96,B22=Input!$I$31+108,B22=Input!$I$31+120),E22*other_3,0))</f>
        <v>0</v>
      </c>
      <c r="P22" s="158">
        <f t="shared" si="13"/>
        <v>16398.375</v>
      </c>
      <c r="Q22" s="159">
        <f t="shared" si="14"/>
        <v>135601.625</v>
      </c>
      <c r="R22" s="160"/>
      <c r="S22" s="161">
        <f>IF(AND(leveraged_property,B22&lt;=amort_period),-IPMT(interest_rate/12,B22,amort_period,loan_amount),0)</f>
        <v>42701.067512838119</v>
      </c>
      <c r="T22" s="149">
        <f t="shared" si="15"/>
        <v>11238.887615127111</v>
      </c>
      <c r="U22" s="149">
        <f>IF(AND(leveraged_property,B22&lt;=amort_period),-PMT(interest_rate/12,amort_period,loan_amount),0)</f>
        <v>53939.95512796523</v>
      </c>
      <c r="V22" s="149">
        <f t="shared" si="16"/>
        <v>9305357.6606404595</v>
      </c>
      <c r="W22" s="160"/>
      <c r="X22" s="149">
        <f t="shared" si="17"/>
        <v>90562.5</v>
      </c>
      <c r="Y22" s="162">
        <f t="shared" si="18"/>
        <v>21387240</v>
      </c>
      <c r="Z22" s="156">
        <f t="shared" si="1"/>
        <v>22136119.014749996</v>
      </c>
      <c r="AA22" s="163">
        <f t="shared" ca="1" si="2"/>
        <v>22136119.014749996</v>
      </c>
      <c r="AB22" s="160"/>
      <c r="AC22" s="164">
        <f>Input!$C$25/12</f>
        <v>26538.461538461535</v>
      </c>
      <c r="AD22" s="139">
        <f t="shared" si="3"/>
        <v>66362.095948700357</v>
      </c>
      <c r="AE22" s="149">
        <f t="shared" si="4"/>
        <v>19908.628784610108</v>
      </c>
      <c r="AF22" s="139">
        <f ca="1">IF(AA22=0,0,AA22-(total_initial_cost-SUM($AC$5:AC22)))</f>
        <v>1913811.3224423043</v>
      </c>
      <c r="AG22" s="139">
        <f t="shared" ca="1" si="5"/>
        <v>382762.2644884609</v>
      </c>
      <c r="AH22" s="149">
        <f t="shared" ca="1" si="19"/>
        <v>21753356.750261534</v>
      </c>
      <c r="AI22" s="103"/>
      <c r="AJ22" s="165">
        <f t="shared" ca="1" si="6"/>
        <v>1053356.750261534</v>
      </c>
      <c r="AK22" s="165">
        <f t="shared" ca="1" si="22"/>
        <v>1975278.0459678259</v>
      </c>
      <c r="AL22" s="300">
        <f t="shared" ca="1" si="23"/>
        <v>0.17636411124712731</v>
      </c>
      <c r="AM22" s="300">
        <f t="shared" si="24"/>
        <v>9.3661925309322963E-2</v>
      </c>
      <c r="AN22" s="300">
        <f t="shared" si="25"/>
        <v>8.1946522946859904E-2</v>
      </c>
      <c r="AO22" s="301">
        <f>IF(leveraged_property,SUM(Q11:Q22)/SUM(U11:U22),"N/A")</f>
        <v>2.6206501608683439</v>
      </c>
      <c r="AP22" s="103"/>
      <c r="AQ22" s="149">
        <f t="shared" si="20"/>
        <v>81661.669872034778</v>
      </c>
      <c r="AR22" s="149">
        <f t="shared" ca="1" si="7"/>
        <v>12912423.023981571</v>
      </c>
      <c r="AS22" s="288">
        <f ca="1">IF(down_payment&lt;=0,"N/A",IRR(($AQ$4:AQ21,AR22),))</f>
        <v>1.4817555494704869E-2</v>
      </c>
      <c r="AT22" s="290">
        <f t="shared" ca="1" si="8"/>
        <v>0.19304179576488267</v>
      </c>
      <c r="AU22" s="288">
        <f ca="1">IF(down_payment&lt;=0,"N/A",MIRR(($AQ$4:AQ21,AR22),finance_rate,reinvestment_rate))</f>
        <v>1.4828411009247588E-2</v>
      </c>
      <c r="AV22" s="290">
        <f t="shared" ca="1" si="9"/>
        <v>0.19319494854959252</v>
      </c>
      <c r="AW22" s="132"/>
      <c r="AX22" s="152">
        <f t="shared" si="10"/>
        <v>61753.041087424674</v>
      </c>
      <c r="AY22" s="296" t="str">
        <f>IF(AND(B22=$BA$4,OR(down_payment&lt;=0,purchase_date="")),"N/A",IF(B22=$BA$4,XIRR(AX$4:AX22,A$4:A22),""))</f>
        <v/>
      </c>
      <c r="BA22" s="178"/>
    </row>
    <row r="23" spans="1:53">
      <c r="A23" s="137">
        <f t="shared" si="21"/>
        <v>40739</v>
      </c>
      <c r="B23" s="138">
        <f t="shared" si="11"/>
        <v>19</v>
      </c>
      <c r="C23" s="139">
        <f>C22+(C22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23" s="139">
        <f t="shared" si="0"/>
        <v>8000</v>
      </c>
      <c r="E23" s="140">
        <f t="shared" si="12"/>
        <v>152000</v>
      </c>
      <c r="F23" s="141"/>
      <c r="G23" s="157">
        <f>IF(Input!$I$7="",0,IF(B23=Input!$I$7,Input!$I$6,IF(B23=Input!$I$7+12,Input!$I$6*(1+annual_incr_proptax),IF(B23=Input!$I$7+24,Input!$I$6*(1+annual_incr_proptax)^2,IF(B23=Input!$I$7+36,Input!$I$6*(1+annual_incr_proptax)^3,IF(B23=Input!$I$7+48,Input!$I$6*(1+annual_incr_proptax)^4,IF(B23=Input!$I$7+60,Input!$I$6*(1+annual_incr_proptax)^5,IF(B23=Input!$I$7+72,Input!$I$6*(1+annual_incr_proptax)^6,IF(B23=Input!$I$7+84,Input!$I$6*(1+annual_incr_proptax)^7,IF(B23=Input!$I$7+96,Input!$I$6*(1+annual_incr_proptax)^8,IF(B23=Input!$I$7+108,Input!$I$6*(1+annual_incr_proptax)^9,IF(B23=Input!$I$7+120,Input!$I$6*(1+annual_incr_proptax)^10,0))))))))))))</f>
        <v>0</v>
      </c>
      <c r="H23" s="139">
        <f>IF(Input!$I$10="",0,IF(B23=Input!$I$10,Input!$I$9,IF(B23=Input!$I$10+12,Input!$I$9*(1+annual_incr_ins),IF(B23=Input!$I$10+24,Input!$I$9*(1+annual_incr_ins)^2,IF(B23=Input!$I$10+36,Input!$I$9*(1+annual_incr_ins)^3,IF(B23=Input!$I$10+48,Input!$I$9*(1+annual_incr_ins)^4,IF(B23=Input!$I$10+60,Input!$I$9*(1+annual_incr_ins)^5,IF(B23=Input!$I$10+72,Input!$I$9*(1+annual_incr_ins)^6,IF(B23=Input!$I$10+84,Input!$I$9*(1+annual_incr_ins)^7,IF(B23=Input!$I$10+96,Input!$I$9*(1+annual_incr_ins)^8,IF(B23=Input!$I$10+108,Input!$I$9*(1+annual_incr_ins)^9,IF(B23=Input!$I$10+120,Input!$I$9*(1+annual_incr_ins)^10,0))))))))))))</f>
        <v>0</v>
      </c>
      <c r="I23" s="139">
        <f>IF(OR(Input!$I$13="",B23&lt;Input!$I$13),0,IF(AND(B23&gt;=Input!$I$13,B23&lt;Input!$I$13+12),Input!$I$12,IF(B23=Input!$I$13+12,Input!$I$12*(1+annual_incr_util),IF(B23=Input!$I$13+24,Input!$I$12*(1+annual_incr_util)^2,IF(B23=Input!$I$13+36,Input!$I$12*(1+annual_incr_util)^3,IF(B23=Input!$I$13+48,Input!$I$12*(1+annual_incr_util)^4,IF(B23=Input!$I$13+60,Input!$I$12*(1+annual_incr_util)^5,IF(B23=Input!$I$13+72,Input!$I$12*(1+annual_incr_util)^6,IF(B23=Input!$I$13+84,Input!$I$12*(1+annual_incr_util)^7,IF(B23=Input!$I$13+96,Input!$I$12*(1+annual_incr_util)^8,IF(B23=Input!$I$13+108,Input!$I$12*(1+annual_incr_util)^9,IF(B23=Input!$I$13+120,Input!$I$12*(1+annual_incr_util)^10,I22))))))))))))</f>
        <v>464.625</v>
      </c>
      <c r="J23" s="139">
        <f>IF(Input!$I$16="",0,IF(B23=Input!$I$16,Input!$I$15,IF(B23=Input!$I$16+12,Input!$I$15*(1+annual_incr_advtg),IF(B23=Input!$I$16+24,Input!$I$15*(1+annual_incr_advtg)^2,IF(B23=Input!$I$16+36,Input!$I$15*(1+annual_incr_advtg)^3,IF(B23=Input!$I$16+48,Input!$I$15*(1+annual_incr_advtg)^4,IF(B23=Input!$I$16+60,Input!$I$15*(1+annual_incr_advtg)^5,IF(B23=Input!$I$16+72,Input!$I$15*(1+annual_incr_advtg)^6,IF(B23=Input!$I$16+84,Input!$I$15*(1+annual_incr_advtg)^7,IF(B23=Input!$I$16+96,Input!$I$15*(1+annual_incr_advtg)^8,IF(B23=Input!$I$16+108,Input!$I$15*(1+annual_incr_advtg)^9,IF(B23=Input!$I$16+120,Input!$I$15*(1+annual_incr_advtg)^10,0))))))))))))</f>
        <v>12152.05</v>
      </c>
      <c r="K23" s="139">
        <f>IF(Input!$I$19="",0,IF(B23=Input!$I$19,Input!$I$18,IF(B23=Input!$I$19+12,Input!$I$18*(1+annual_incr_other1),IF(B23=Input!$I$19+24,Input!$I$18*(1+annual_incr_other1)^2,IF(B23=Input!$I$19+36,Input!$I$18*(1+annual_incr_other1)^3,IF(B23=Input!$I$19+48,Input!$I$18*(1+annual_incr_other1)^4,IF(B23=Input!$I$19+60,Input!$I$18*(1+annual_incr_other1)^5,IF(B23=Input!$I$19+72,Input!$I$18*(1+annual_incr_other1)^6,IF(B23=Input!$I$19+84,Input!$I$18*(1+annual_incr_other1)^7,IF(B23=Input!$I$19+96,Input!$I$18*(1+annual_incr_other1)^8,IF(B23=Input!$I$19+108,Input!$I$18*(1+annual_incr_other1)^9,IF(B23=Input!$I$19+120,Input!$I$18*(1+annual_incr_other1)^10,0))))))))))))</f>
        <v>0</v>
      </c>
      <c r="L23" s="156">
        <f>IF(OR(Input!$I$22="",B23&lt;Input!$I$22),0,IF(AND(B23&gt;=Input!$I$22,B23&lt;Input!$I$22+12),Input!$I$21,IF(B23=Input!$I$22+12,Input!$I$21*(1+annual_incr_other2),IF(B23=Input!$I$22+24,Input!$I$21*(1+annual_incr_other2)^2,IF(B23=Input!$I$22+36,Input!$I$21*(1+annual_incr_other2)^3,IF(B23=Input!$I$22+48,Input!$I$21*(1+annual_incr_other2)^4,IF(B23=Input!$I$22+60,Input!$I$21*(1+annual_incr_other2)^5,IF(B23=Input!$I$22+72,Input!$I$21*(1+annual_incr_other2)^6,IF(B23=Input!$I$22+84,Input!$I$21*(1+annual_incr_other2)^7,IF(B23=Input!$I$22+96,Input!$I$21*(1+annual_incr_other2)^8,IF(B23=Input!$I$22+108,Input!$I$21*(1+annual_incr_other2)^9,IF(B23=Input!$I$22+120,Input!$I$21*(1+annual_incr_other2)^10,L22))))))))))))</f>
        <v>563.75</v>
      </c>
      <c r="M23" s="139">
        <f>IF(OR(Input!$I$27="",B23&lt;Input!$I$27),0,E23*mgmt_fee)</f>
        <v>1368</v>
      </c>
      <c r="N23" s="139">
        <f>IF(OR(Input!$I$29="",B23&lt;Input!$I$29),0,E23*repairs_maint)</f>
        <v>1672</v>
      </c>
      <c r="O23" s="149">
        <f>IF(Input!$I$31="",0,IF(OR(B23=Input!$I$31,B23=Input!$I$31+12,B23=Input!$I$31+24,B23=Input!$I$31+36,B23=Input!$I$31+48,B23=Input!$I$31+60,B23=Input!$I$31+72,B23=Input!$I$31+84,B23=Input!$I$31+96,B23=Input!$I$31+108,B23=Input!$I$31+120),E23*other_3,0))</f>
        <v>0</v>
      </c>
      <c r="P23" s="158">
        <f t="shared" si="13"/>
        <v>16220.424999999999</v>
      </c>
      <c r="Q23" s="159">
        <f t="shared" si="14"/>
        <v>135779.57500000001</v>
      </c>
      <c r="R23" s="160"/>
      <c r="S23" s="161">
        <f>IF(AND(leveraged_property,B23&lt;=amort_period),-IPMT(interest_rate/12,B23,amort_period,loan_amount),0)</f>
        <v>42649.555944602114</v>
      </c>
      <c r="T23" s="149">
        <f t="shared" si="15"/>
        <v>11290.399183363115</v>
      </c>
      <c r="U23" s="149">
        <f>IF(AND(leveraged_property,B23&lt;=amort_period),-PMT(interest_rate/12,amort_period,loan_amount),0)</f>
        <v>53939.95512796523</v>
      </c>
      <c r="V23" s="149">
        <f t="shared" si="16"/>
        <v>9294067.2614570968</v>
      </c>
      <c r="W23" s="160"/>
      <c r="X23" s="149">
        <f t="shared" si="17"/>
        <v>90562.5</v>
      </c>
      <c r="Y23" s="162">
        <f t="shared" si="18"/>
        <v>21474180</v>
      </c>
      <c r="Z23" s="156">
        <f t="shared" si="1"/>
        <v>22431378.831179999</v>
      </c>
      <c r="AA23" s="163">
        <f t="shared" ca="1" si="2"/>
        <v>22431378.831179999</v>
      </c>
      <c r="AB23" s="160"/>
      <c r="AC23" s="164">
        <f>Input!$C$25/12</f>
        <v>26538.461538461535</v>
      </c>
      <c r="AD23" s="139">
        <f t="shared" si="3"/>
        <v>66591.557516936358</v>
      </c>
      <c r="AE23" s="149">
        <f t="shared" si="4"/>
        <v>19977.467255080908</v>
      </c>
      <c r="AF23" s="139">
        <f ca="1">IF(AA23=0,0,AA23-(total_initial_cost-SUM($AC$5:AC23)))</f>
        <v>2235609.6004107669</v>
      </c>
      <c r="AG23" s="139">
        <f t="shared" ca="1" si="5"/>
        <v>447121.9200821534</v>
      </c>
      <c r="AH23" s="149">
        <f t="shared" ca="1" si="19"/>
        <v>21984256.911097847</v>
      </c>
      <c r="AI23" s="103"/>
      <c r="AJ23" s="165">
        <f t="shared" ca="1" si="6"/>
        <v>1284256.9110978469</v>
      </c>
      <c r="AK23" s="165">
        <f t="shared" ca="1" si="22"/>
        <v>2206123.9121112926</v>
      </c>
      <c r="AL23" s="300">
        <f t="shared" ca="1" si="23"/>
        <v>0.19697534929565114</v>
      </c>
      <c r="AM23" s="300">
        <f t="shared" si="24"/>
        <v>9.3601173077180091E-2</v>
      </c>
      <c r="AN23" s="300">
        <f t="shared" si="25"/>
        <v>8.191365217391304E-2</v>
      </c>
      <c r="AO23" s="301">
        <f>IF(leveraged_property,SUM(Q12:Q23)/SUM(U12:U23),"N/A")</f>
        <v>2.6195989534062902</v>
      </c>
      <c r="AP23" s="103"/>
      <c r="AQ23" s="149">
        <f t="shared" si="20"/>
        <v>81839.619872034789</v>
      </c>
      <c r="AR23" s="149">
        <f t="shared" ca="1" si="7"/>
        <v>13219151.189594936</v>
      </c>
      <c r="AS23" s="288">
        <f ca="1">IF(down_payment&lt;=0,"N/A",IRR(($AQ$4:AQ22,AR23),))</f>
        <v>1.5575124401116028E-2</v>
      </c>
      <c r="AT23" s="290">
        <f t="shared" ca="1" si="8"/>
        <v>0.20377316091141018</v>
      </c>
      <c r="AU23" s="288">
        <f ca="1">IF(down_payment&lt;=0,"N/A",MIRR(($AQ$4:AQ22,AR23),finance_rate,reinvestment_rate))</f>
        <v>1.5539354680462303E-2</v>
      </c>
      <c r="AV23" s="290">
        <f t="shared" ca="1" si="9"/>
        <v>0.20326448020253274</v>
      </c>
      <c r="AW23" s="132"/>
      <c r="AX23" s="152">
        <f t="shared" si="10"/>
        <v>61862.152616953885</v>
      </c>
      <c r="AY23" s="296" t="str">
        <f>IF(AND(B23=$BA$4,OR(down_payment&lt;=0,purchase_date="")),"N/A",IF(B23=$BA$4,XIRR(AX$4:AX23,A$4:A23),""))</f>
        <v/>
      </c>
      <c r="BA23" s="178"/>
    </row>
    <row r="24" spans="1:53">
      <c r="A24" s="137">
        <f t="shared" si="21"/>
        <v>40770</v>
      </c>
      <c r="B24" s="138">
        <f t="shared" si="11"/>
        <v>20</v>
      </c>
      <c r="C24" s="139">
        <f>C23+(C23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24" s="139">
        <f t="shared" si="0"/>
        <v>8000</v>
      </c>
      <c r="E24" s="140">
        <f t="shared" si="12"/>
        <v>152000</v>
      </c>
      <c r="F24" s="141"/>
      <c r="G24" s="157">
        <f>IF(Input!$I$7="",0,IF(B24=Input!$I$7,Input!$I$6,IF(B24=Input!$I$7+12,Input!$I$6*(1+annual_incr_proptax),IF(B24=Input!$I$7+24,Input!$I$6*(1+annual_incr_proptax)^2,IF(B24=Input!$I$7+36,Input!$I$6*(1+annual_incr_proptax)^3,IF(B24=Input!$I$7+48,Input!$I$6*(1+annual_incr_proptax)^4,IF(B24=Input!$I$7+60,Input!$I$6*(1+annual_incr_proptax)^5,IF(B24=Input!$I$7+72,Input!$I$6*(1+annual_incr_proptax)^6,IF(B24=Input!$I$7+84,Input!$I$6*(1+annual_incr_proptax)^7,IF(B24=Input!$I$7+96,Input!$I$6*(1+annual_incr_proptax)^8,IF(B24=Input!$I$7+108,Input!$I$6*(1+annual_incr_proptax)^9,IF(B24=Input!$I$7+120,Input!$I$6*(1+annual_incr_proptax)^10,0))))))))))))</f>
        <v>0</v>
      </c>
      <c r="H24" s="139">
        <f>IF(Input!$I$10="",0,IF(B24=Input!$I$10,Input!$I$9,IF(B24=Input!$I$10+12,Input!$I$9*(1+annual_incr_ins),IF(B24=Input!$I$10+24,Input!$I$9*(1+annual_incr_ins)^2,IF(B24=Input!$I$10+36,Input!$I$9*(1+annual_incr_ins)^3,IF(B24=Input!$I$10+48,Input!$I$9*(1+annual_incr_ins)^4,IF(B24=Input!$I$10+60,Input!$I$9*(1+annual_incr_ins)^5,IF(B24=Input!$I$10+72,Input!$I$9*(1+annual_incr_ins)^6,IF(B24=Input!$I$10+84,Input!$I$9*(1+annual_incr_ins)^7,IF(B24=Input!$I$10+96,Input!$I$9*(1+annual_incr_ins)^8,IF(B24=Input!$I$10+108,Input!$I$9*(1+annual_incr_ins)^9,IF(B24=Input!$I$10+120,Input!$I$9*(1+annual_incr_ins)^10,0))))))))))))</f>
        <v>0</v>
      </c>
      <c r="I24" s="139">
        <f>IF(OR(Input!$I$13="",B24&lt;Input!$I$13),0,IF(AND(B24&gt;=Input!$I$13,B24&lt;Input!$I$13+12),Input!$I$12,IF(B24=Input!$I$13+12,Input!$I$12*(1+annual_incr_util),IF(B24=Input!$I$13+24,Input!$I$12*(1+annual_incr_util)^2,IF(B24=Input!$I$13+36,Input!$I$12*(1+annual_incr_util)^3,IF(B24=Input!$I$13+48,Input!$I$12*(1+annual_incr_util)^4,IF(B24=Input!$I$13+60,Input!$I$12*(1+annual_incr_util)^5,IF(B24=Input!$I$13+72,Input!$I$12*(1+annual_incr_util)^6,IF(B24=Input!$I$13+84,Input!$I$12*(1+annual_incr_util)^7,IF(B24=Input!$I$13+96,Input!$I$12*(1+annual_incr_util)^8,IF(B24=Input!$I$13+108,Input!$I$12*(1+annual_incr_util)^9,IF(B24=Input!$I$13+120,Input!$I$12*(1+annual_incr_util)^10,I23))))))))))))</f>
        <v>464.625</v>
      </c>
      <c r="J24" s="139">
        <f>IF(Input!$I$16="",0,IF(B24=Input!$I$16,Input!$I$15,IF(B24=Input!$I$16+12,Input!$I$15*(1+annual_incr_advtg),IF(B24=Input!$I$16+24,Input!$I$15*(1+annual_incr_advtg)^2,IF(B24=Input!$I$16+36,Input!$I$15*(1+annual_incr_advtg)^3,IF(B24=Input!$I$16+48,Input!$I$15*(1+annual_incr_advtg)^4,IF(B24=Input!$I$16+60,Input!$I$15*(1+annual_incr_advtg)^5,IF(B24=Input!$I$16+72,Input!$I$15*(1+annual_incr_advtg)^6,IF(B24=Input!$I$16+84,Input!$I$15*(1+annual_incr_advtg)^7,IF(B24=Input!$I$16+96,Input!$I$15*(1+annual_incr_advtg)^8,IF(B24=Input!$I$16+108,Input!$I$15*(1+annual_incr_advtg)^9,IF(B24=Input!$I$16+120,Input!$I$15*(1+annual_incr_advtg)^10,0))))))))))))</f>
        <v>0</v>
      </c>
      <c r="K24" s="139">
        <f>IF(Input!$I$19="",0,IF(B24=Input!$I$19,Input!$I$18,IF(B24=Input!$I$19+12,Input!$I$18*(1+annual_incr_other1),IF(B24=Input!$I$19+24,Input!$I$18*(1+annual_incr_other1)^2,IF(B24=Input!$I$19+36,Input!$I$18*(1+annual_incr_other1)^3,IF(B24=Input!$I$19+48,Input!$I$18*(1+annual_incr_other1)^4,IF(B24=Input!$I$19+60,Input!$I$18*(1+annual_incr_other1)^5,IF(B24=Input!$I$19+72,Input!$I$18*(1+annual_incr_other1)^6,IF(B24=Input!$I$19+84,Input!$I$18*(1+annual_incr_other1)^7,IF(B24=Input!$I$19+96,Input!$I$18*(1+annual_incr_other1)^8,IF(B24=Input!$I$19+108,Input!$I$18*(1+annual_incr_other1)^9,IF(B24=Input!$I$19+120,Input!$I$18*(1+annual_incr_other1)^10,0))))))))))))</f>
        <v>0</v>
      </c>
      <c r="L24" s="156">
        <f>IF(OR(Input!$I$22="",B24&lt;Input!$I$22),0,IF(AND(B24&gt;=Input!$I$22,B24&lt;Input!$I$22+12),Input!$I$21,IF(B24=Input!$I$22+12,Input!$I$21*(1+annual_incr_other2),IF(B24=Input!$I$22+24,Input!$I$21*(1+annual_incr_other2)^2,IF(B24=Input!$I$22+36,Input!$I$21*(1+annual_incr_other2)^3,IF(B24=Input!$I$22+48,Input!$I$21*(1+annual_incr_other2)^4,IF(B24=Input!$I$22+60,Input!$I$21*(1+annual_incr_other2)^5,IF(B24=Input!$I$22+72,Input!$I$21*(1+annual_incr_other2)^6,IF(B24=Input!$I$22+84,Input!$I$21*(1+annual_incr_other2)^7,IF(B24=Input!$I$22+96,Input!$I$21*(1+annual_incr_other2)^8,IF(B24=Input!$I$22+108,Input!$I$21*(1+annual_incr_other2)^9,IF(B24=Input!$I$22+120,Input!$I$21*(1+annual_incr_other2)^10,L23))))))))))))</f>
        <v>563.75</v>
      </c>
      <c r="M24" s="139">
        <f>IF(OR(Input!$I$27="",B24&lt;Input!$I$27),0,E24*mgmt_fee)</f>
        <v>1368</v>
      </c>
      <c r="N24" s="139">
        <f>IF(OR(Input!$I$29="",B24&lt;Input!$I$29),0,E24*repairs_maint)</f>
        <v>1672</v>
      </c>
      <c r="O24" s="149">
        <f>IF(Input!$I$31="",0,IF(OR(B24=Input!$I$31,B24=Input!$I$31+12,B24=Input!$I$31+24,B24=Input!$I$31+36,B24=Input!$I$31+48,B24=Input!$I$31+60,B24=Input!$I$31+72,B24=Input!$I$31+84,B24=Input!$I$31+96,B24=Input!$I$31+108,B24=Input!$I$31+120),E24*other_3,0))</f>
        <v>0</v>
      </c>
      <c r="P24" s="158">
        <f t="shared" si="13"/>
        <v>4068.375</v>
      </c>
      <c r="Q24" s="159">
        <f t="shared" si="14"/>
        <v>147931.625</v>
      </c>
      <c r="R24" s="160"/>
      <c r="S24" s="161">
        <f>IF(AND(leveraged_property,B24&lt;=amort_period),-IPMT(interest_rate/12,B24,amort_period,loan_amount),0)</f>
        <v>42597.808281678372</v>
      </c>
      <c r="T24" s="149">
        <f t="shared" si="15"/>
        <v>11342.146846286858</v>
      </c>
      <c r="U24" s="149">
        <f>IF(AND(leveraged_property,B24&lt;=amort_period),-PMT(interest_rate/12,amort_period,loan_amount),0)</f>
        <v>53939.95512796523</v>
      </c>
      <c r="V24" s="149">
        <f t="shared" si="16"/>
        <v>9282725.1146108098</v>
      </c>
      <c r="W24" s="160"/>
      <c r="X24" s="149">
        <f t="shared" si="17"/>
        <v>90562.5</v>
      </c>
      <c r="Y24" s="162">
        <f t="shared" si="18"/>
        <v>21561120</v>
      </c>
      <c r="Z24" s="156">
        <f t="shared" si="1"/>
        <v>22734906.902429994</v>
      </c>
      <c r="AA24" s="163">
        <f t="shared" ca="1" si="2"/>
        <v>22734906.902429994</v>
      </c>
      <c r="AB24" s="160"/>
      <c r="AC24" s="164">
        <f>Input!$C$25/12</f>
        <v>26538.461538461535</v>
      </c>
      <c r="AD24" s="139">
        <f t="shared" si="3"/>
        <v>78795.355179860097</v>
      </c>
      <c r="AE24" s="149">
        <f t="shared" si="4"/>
        <v>23638.606553958027</v>
      </c>
      <c r="AF24" s="139">
        <f ca="1">IF(AA24=0,0,AA24-(total_initial_cost-SUM($AC$5:AC24)))</f>
        <v>2565676.1331992261</v>
      </c>
      <c r="AG24" s="139">
        <f t="shared" ca="1" si="5"/>
        <v>513135.22663984523</v>
      </c>
      <c r="AH24" s="149">
        <f t="shared" ca="1" si="19"/>
        <v>22221771.67579015</v>
      </c>
      <c r="AI24" s="103"/>
      <c r="AJ24" s="165">
        <f t="shared" ca="1" si="6"/>
        <v>1521771.6757901497</v>
      </c>
      <c r="AK24" s="165">
        <f t="shared" ca="1" si="22"/>
        <v>2444042.7512902827</v>
      </c>
      <c r="AL24" s="300">
        <f t="shared" ca="1" si="23"/>
        <v>0.21821810279377524</v>
      </c>
      <c r="AM24" s="300">
        <f t="shared" si="24"/>
        <v>9.3598639595037239E-2</v>
      </c>
      <c r="AN24" s="300">
        <f t="shared" si="25"/>
        <v>8.191228140096618E-2</v>
      </c>
      <c r="AO24" s="301">
        <f>IF(leveraged_property,SUM(Q13:Q24)/SUM(U13:U24),"N/A")</f>
        <v>2.6195551160814774</v>
      </c>
      <c r="AP24" s="103"/>
      <c r="AQ24" s="149">
        <f t="shared" si="20"/>
        <v>93991.669872034778</v>
      </c>
      <c r="AR24" s="149">
        <f t="shared" ca="1" si="7"/>
        <v>13546173.457691219</v>
      </c>
      <c r="AS24" s="288">
        <f ca="1">IF(down_payment&lt;=0,"N/A",IRR(($AQ$4:AQ23,AR24),))</f>
        <v>1.6297566977166392E-2</v>
      </c>
      <c r="AT24" s="290">
        <f t="shared" ca="1" si="8"/>
        <v>0.21408929694143208</v>
      </c>
      <c r="AU24" s="288">
        <f ca="1">IF(down_payment&lt;=0,"N/A",MIRR(($AQ$4:AQ23,AR24),finance_rate,reinvestment_rate))</f>
        <v>1.6213532139053077E-2</v>
      </c>
      <c r="AV24" s="290">
        <f t="shared" ca="1" si="9"/>
        <v>0.21288516837494242</v>
      </c>
      <c r="AW24" s="103"/>
      <c r="AX24" s="152">
        <f t="shared" si="10"/>
        <v>70353.063318076747</v>
      </c>
      <c r="AY24" s="296" t="str">
        <f>IF(AND(B24=$BA$4,OR(down_payment&lt;=0,purchase_date="")),"N/A",IF(B24=$BA$4,XIRR(AX$4:AX24,A$4:A24),""))</f>
        <v/>
      </c>
      <c r="BA24" s="178"/>
    </row>
    <row r="25" spans="1:53">
      <c r="A25" s="137">
        <f t="shared" si="21"/>
        <v>40801</v>
      </c>
      <c r="B25" s="138">
        <f t="shared" si="11"/>
        <v>21</v>
      </c>
      <c r="C25" s="139">
        <f>C24+(C24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25" s="139">
        <f t="shared" si="0"/>
        <v>8000</v>
      </c>
      <c r="E25" s="140">
        <f t="shared" si="12"/>
        <v>152000</v>
      </c>
      <c r="F25" s="141"/>
      <c r="G25" s="157">
        <f>IF(Input!$I$7="",0,IF(B25=Input!$I$7,Input!$I$6,IF(B25=Input!$I$7+12,Input!$I$6*(1+annual_incr_proptax),IF(B25=Input!$I$7+24,Input!$I$6*(1+annual_incr_proptax)^2,IF(B25=Input!$I$7+36,Input!$I$6*(1+annual_incr_proptax)^3,IF(B25=Input!$I$7+48,Input!$I$6*(1+annual_incr_proptax)^4,IF(B25=Input!$I$7+60,Input!$I$6*(1+annual_incr_proptax)^5,IF(B25=Input!$I$7+72,Input!$I$6*(1+annual_incr_proptax)^6,IF(B25=Input!$I$7+84,Input!$I$6*(1+annual_incr_proptax)^7,IF(B25=Input!$I$7+96,Input!$I$6*(1+annual_incr_proptax)^8,IF(B25=Input!$I$7+108,Input!$I$6*(1+annual_incr_proptax)^9,IF(B25=Input!$I$7+120,Input!$I$6*(1+annual_incr_proptax)^10,0))))))))))))</f>
        <v>0</v>
      </c>
      <c r="H25" s="139">
        <f>IF(Input!$I$10="",0,IF(B25=Input!$I$10,Input!$I$9,IF(B25=Input!$I$10+12,Input!$I$9*(1+annual_incr_ins),IF(B25=Input!$I$10+24,Input!$I$9*(1+annual_incr_ins)^2,IF(B25=Input!$I$10+36,Input!$I$9*(1+annual_incr_ins)^3,IF(B25=Input!$I$10+48,Input!$I$9*(1+annual_incr_ins)^4,IF(B25=Input!$I$10+60,Input!$I$9*(1+annual_incr_ins)^5,IF(B25=Input!$I$10+72,Input!$I$9*(1+annual_incr_ins)^6,IF(B25=Input!$I$10+84,Input!$I$9*(1+annual_incr_ins)^7,IF(B25=Input!$I$10+96,Input!$I$9*(1+annual_incr_ins)^8,IF(B25=Input!$I$10+108,Input!$I$9*(1+annual_incr_ins)^9,IF(B25=Input!$I$10+120,Input!$I$9*(1+annual_incr_ins)^10,0))))))))))))</f>
        <v>0</v>
      </c>
      <c r="I25" s="139">
        <f>IF(OR(Input!$I$13="",B25&lt;Input!$I$13),0,IF(AND(B25&gt;=Input!$I$13,B25&lt;Input!$I$13+12),Input!$I$12,IF(B25=Input!$I$13+12,Input!$I$12*(1+annual_incr_util),IF(B25=Input!$I$13+24,Input!$I$12*(1+annual_incr_util)^2,IF(B25=Input!$I$13+36,Input!$I$12*(1+annual_incr_util)^3,IF(B25=Input!$I$13+48,Input!$I$12*(1+annual_incr_util)^4,IF(B25=Input!$I$13+60,Input!$I$12*(1+annual_incr_util)^5,IF(B25=Input!$I$13+72,Input!$I$12*(1+annual_incr_util)^6,IF(B25=Input!$I$13+84,Input!$I$12*(1+annual_incr_util)^7,IF(B25=Input!$I$13+96,Input!$I$12*(1+annual_incr_util)^8,IF(B25=Input!$I$13+108,Input!$I$12*(1+annual_incr_util)^9,IF(B25=Input!$I$13+120,Input!$I$12*(1+annual_incr_util)^10,I24))))))))))))</f>
        <v>464.625</v>
      </c>
      <c r="J25" s="139">
        <f>IF(Input!$I$16="",0,IF(B25=Input!$I$16,Input!$I$15,IF(B25=Input!$I$16+12,Input!$I$15*(1+annual_incr_advtg),IF(B25=Input!$I$16+24,Input!$I$15*(1+annual_incr_advtg)^2,IF(B25=Input!$I$16+36,Input!$I$15*(1+annual_incr_advtg)^3,IF(B25=Input!$I$16+48,Input!$I$15*(1+annual_incr_advtg)^4,IF(B25=Input!$I$16+60,Input!$I$15*(1+annual_incr_advtg)^5,IF(B25=Input!$I$16+72,Input!$I$15*(1+annual_incr_advtg)^6,IF(B25=Input!$I$16+84,Input!$I$15*(1+annual_incr_advtg)^7,IF(B25=Input!$I$16+96,Input!$I$15*(1+annual_incr_advtg)^8,IF(B25=Input!$I$16+108,Input!$I$15*(1+annual_incr_advtg)^9,IF(B25=Input!$I$16+120,Input!$I$15*(1+annual_incr_advtg)^10,0))))))))))))</f>
        <v>0</v>
      </c>
      <c r="K25" s="139">
        <f>IF(Input!$I$19="",0,IF(B25=Input!$I$19,Input!$I$18,IF(B25=Input!$I$19+12,Input!$I$18*(1+annual_incr_other1),IF(B25=Input!$I$19+24,Input!$I$18*(1+annual_incr_other1)^2,IF(B25=Input!$I$19+36,Input!$I$18*(1+annual_incr_other1)^3,IF(B25=Input!$I$19+48,Input!$I$18*(1+annual_incr_other1)^4,IF(B25=Input!$I$19+60,Input!$I$18*(1+annual_incr_other1)^5,IF(B25=Input!$I$19+72,Input!$I$18*(1+annual_incr_other1)^6,IF(B25=Input!$I$19+84,Input!$I$18*(1+annual_incr_other1)^7,IF(B25=Input!$I$19+96,Input!$I$18*(1+annual_incr_other1)^8,IF(B25=Input!$I$19+108,Input!$I$18*(1+annual_incr_other1)^9,IF(B25=Input!$I$19+120,Input!$I$18*(1+annual_incr_other1)^10,0))))))))))))</f>
        <v>0</v>
      </c>
      <c r="L25" s="156">
        <f>IF(OR(Input!$I$22="",B25&lt;Input!$I$22),0,IF(AND(B25&gt;=Input!$I$22,B25&lt;Input!$I$22+12),Input!$I$21,IF(B25=Input!$I$22+12,Input!$I$21*(1+annual_incr_other2),IF(B25=Input!$I$22+24,Input!$I$21*(1+annual_incr_other2)^2,IF(B25=Input!$I$22+36,Input!$I$21*(1+annual_incr_other2)^3,IF(B25=Input!$I$22+48,Input!$I$21*(1+annual_incr_other2)^4,IF(B25=Input!$I$22+60,Input!$I$21*(1+annual_incr_other2)^5,IF(B25=Input!$I$22+72,Input!$I$21*(1+annual_incr_other2)^6,IF(B25=Input!$I$22+84,Input!$I$21*(1+annual_incr_other2)^7,IF(B25=Input!$I$22+96,Input!$I$21*(1+annual_incr_other2)^8,IF(B25=Input!$I$22+108,Input!$I$21*(1+annual_incr_other2)^9,IF(B25=Input!$I$22+120,Input!$I$21*(1+annual_incr_other2)^10,L24))))))))))))</f>
        <v>563.75</v>
      </c>
      <c r="M25" s="139">
        <f>IF(OR(Input!$I$27="",B25&lt;Input!$I$27),0,E25*mgmt_fee)</f>
        <v>1368</v>
      </c>
      <c r="N25" s="139">
        <f>IF(OR(Input!$I$29="",B25&lt;Input!$I$29),0,E25*repairs_maint)</f>
        <v>1672</v>
      </c>
      <c r="O25" s="149">
        <f>IF(Input!$I$31="",0,IF(OR(B25=Input!$I$31,B25=Input!$I$31+12,B25=Input!$I$31+24,B25=Input!$I$31+36,B25=Input!$I$31+48,B25=Input!$I$31+60,B25=Input!$I$31+72,B25=Input!$I$31+84,B25=Input!$I$31+96,B25=Input!$I$31+108,B25=Input!$I$31+120),E25*other_3,0))</f>
        <v>0</v>
      </c>
      <c r="P25" s="158">
        <f t="shared" si="13"/>
        <v>4068.375</v>
      </c>
      <c r="Q25" s="159">
        <f t="shared" si="14"/>
        <v>147931.625</v>
      </c>
      <c r="R25" s="160"/>
      <c r="S25" s="161">
        <f>IF(AND(leveraged_property,B25&lt;=amort_period),-IPMT(interest_rate/12,B25,amort_period,loan_amount),0)</f>
        <v>42545.823441966219</v>
      </c>
      <c r="T25" s="149">
        <f t="shared" si="15"/>
        <v>11394.131685999011</v>
      </c>
      <c r="U25" s="149">
        <f>IF(AND(leveraged_property,B25&lt;=amort_period),-PMT(interest_rate/12,amort_period,loan_amount),0)</f>
        <v>53939.95512796523</v>
      </c>
      <c r="V25" s="149">
        <f t="shared" si="16"/>
        <v>9271330.9829248115</v>
      </c>
      <c r="W25" s="160"/>
      <c r="X25" s="149">
        <f t="shared" si="17"/>
        <v>90562.5</v>
      </c>
      <c r="Y25" s="162">
        <f t="shared" si="18"/>
        <v>21648060</v>
      </c>
      <c r="Z25" s="156">
        <f t="shared" si="1"/>
        <v>23038434.973679993</v>
      </c>
      <c r="AA25" s="163">
        <f t="shared" ca="1" si="2"/>
        <v>23038434.973679993</v>
      </c>
      <c r="AB25" s="160"/>
      <c r="AC25" s="164">
        <f>Input!$C$25/12</f>
        <v>26538.461538461535</v>
      </c>
      <c r="AD25" s="139">
        <f t="shared" si="3"/>
        <v>78847.34001957225</v>
      </c>
      <c r="AE25" s="149">
        <f t="shared" si="4"/>
        <v>23654.202005871673</v>
      </c>
      <c r="AF25" s="139">
        <f ca="1">IF(AA25=0,0,AA25-(total_initial_cost-SUM($AC$5:AC25)))</f>
        <v>2895742.6659876853</v>
      </c>
      <c r="AG25" s="139">
        <f t="shared" ca="1" si="5"/>
        <v>579148.53319753706</v>
      </c>
      <c r="AH25" s="149">
        <f t="shared" ca="1" si="19"/>
        <v>22459286.440482456</v>
      </c>
      <c r="AI25" s="103"/>
      <c r="AJ25" s="165">
        <f t="shared" ca="1" si="6"/>
        <v>1759286.4404824562</v>
      </c>
      <c r="AK25" s="165">
        <f t="shared" ca="1" si="22"/>
        <v>2681963.5335137984</v>
      </c>
      <c r="AL25" s="300">
        <f t="shared" ca="1" si="23"/>
        <v>0.23946102977801773</v>
      </c>
      <c r="AM25" s="300">
        <f t="shared" si="24"/>
        <v>9.3596106112894387E-2</v>
      </c>
      <c r="AN25" s="300">
        <f t="shared" si="25"/>
        <v>8.1910910628019321E-2</v>
      </c>
      <c r="AO25" s="301">
        <f>IF(leveraged_property,SUM(Q14:Q25)/SUM(U14:U25),"N/A")</f>
        <v>2.6195112787566646</v>
      </c>
      <c r="AP25" s="103"/>
      <c r="AQ25" s="149">
        <f t="shared" si="20"/>
        <v>93991.669872034778</v>
      </c>
      <c r="AR25" s="149">
        <f t="shared" ca="1" si="7"/>
        <v>13861095.660627216</v>
      </c>
      <c r="AS25" s="288">
        <f ca="1">IF(down_payment&lt;=0,"N/A",IRR(($AQ$4:AQ24,AR25),))</f>
        <v>1.6920107773645911E-2</v>
      </c>
      <c r="AT25" s="290">
        <f t="shared" ca="1" si="8"/>
        <v>0.22304382078477203</v>
      </c>
      <c r="AU25" s="288">
        <f ca="1">IF(down_payment&lt;=0,"N/A",MIRR(($AQ$4:AQ24,AR25),finance_rate,reinvestment_rate))</f>
        <v>1.6790876115616138E-2</v>
      </c>
      <c r="AV25" s="290">
        <f t="shared" ca="1" si="9"/>
        <v>0.22118001000760379</v>
      </c>
      <c r="AW25" s="103"/>
      <c r="AX25" s="152">
        <f t="shared" si="10"/>
        <v>70337.467866163104</v>
      </c>
      <c r="AY25" s="296" t="str">
        <f>IF(AND(B25=$BA$4,OR(down_payment&lt;=0,purchase_date="")),"N/A",IF(B25=$BA$4,XIRR(AX$4:AX25,A$4:A25),""))</f>
        <v/>
      </c>
      <c r="BA25" s="178"/>
    </row>
    <row r="26" spans="1:53">
      <c r="A26" s="137">
        <f t="shared" si="21"/>
        <v>40831</v>
      </c>
      <c r="B26" s="138">
        <f t="shared" si="11"/>
        <v>22</v>
      </c>
      <c r="C26" s="139">
        <f>C25+(C25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26" s="139">
        <f t="shared" si="0"/>
        <v>8000</v>
      </c>
      <c r="E26" s="140">
        <f t="shared" si="12"/>
        <v>152000</v>
      </c>
      <c r="F26" s="141"/>
      <c r="G26" s="157">
        <f>IF(Input!$I$7="",0,IF(B26=Input!$I$7,Input!$I$6,IF(B26=Input!$I$7+12,Input!$I$6*(1+annual_incr_proptax),IF(B26=Input!$I$7+24,Input!$I$6*(1+annual_incr_proptax)^2,IF(B26=Input!$I$7+36,Input!$I$6*(1+annual_incr_proptax)^3,IF(B26=Input!$I$7+48,Input!$I$6*(1+annual_incr_proptax)^4,IF(B26=Input!$I$7+60,Input!$I$6*(1+annual_incr_proptax)^5,IF(B26=Input!$I$7+72,Input!$I$6*(1+annual_incr_proptax)^6,IF(B26=Input!$I$7+84,Input!$I$6*(1+annual_incr_proptax)^7,IF(B26=Input!$I$7+96,Input!$I$6*(1+annual_incr_proptax)^8,IF(B26=Input!$I$7+108,Input!$I$6*(1+annual_incr_proptax)^9,IF(B26=Input!$I$7+120,Input!$I$6*(1+annual_incr_proptax)^10,0))))))))))))</f>
        <v>0</v>
      </c>
      <c r="H26" s="139">
        <f>IF(Input!$I$10="",0,IF(B26=Input!$I$10,Input!$I$9,IF(B26=Input!$I$10+12,Input!$I$9*(1+annual_incr_ins),IF(B26=Input!$I$10+24,Input!$I$9*(1+annual_incr_ins)^2,IF(B26=Input!$I$10+36,Input!$I$9*(1+annual_incr_ins)^3,IF(B26=Input!$I$10+48,Input!$I$9*(1+annual_incr_ins)^4,IF(B26=Input!$I$10+60,Input!$I$9*(1+annual_incr_ins)^5,IF(B26=Input!$I$10+72,Input!$I$9*(1+annual_incr_ins)^6,IF(B26=Input!$I$10+84,Input!$I$9*(1+annual_incr_ins)^7,IF(B26=Input!$I$10+96,Input!$I$9*(1+annual_incr_ins)^8,IF(B26=Input!$I$10+108,Input!$I$9*(1+annual_incr_ins)^9,IF(B26=Input!$I$10+120,Input!$I$9*(1+annual_incr_ins)^10,0))))))))))))</f>
        <v>0</v>
      </c>
      <c r="I26" s="139">
        <f>IF(OR(Input!$I$13="",B26&lt;Input!$I$13),0,IF(AND(B26&gt;=Input!$I$13,B26&lt;Input!$I$13+12),Input!$I$12,IF(B26=Input!$I$13+12,Input!$I$12*(1+annual_incr_util),IF(B26=Input!$I$13+24,Input!$I$12*(1+annual_incr_util)^2,IF(B26=Input!$I$13+36,Input!$I$12*(1+annual_incr_util)^3,IF(B26=Input!$I$13+48,Input!$I$12*(1+annual_incr_util)^4,IF(B26=Input!$I$13+60,Input!$I$12*(1+annual_incr_util)^5,IF(B26=Input!$I$13+72,Input!$I$12*(1+annual_incr_util)^6,IF(B26=Input!$I$13+84,Input!$I$12*(1+annual_incr_util)^7,IF(B26=Input!$I$13+96,Input!$I$12*(1+annual_incr_util)^8,IF(B26=Input!$I$13+108,Input!$I$12*(1+annual_incr_util)^9,IF(B26=Input!$I$13+120,Input!$I$12*(1+annual_incr_util)^10,I25))))))))))))</f>
        <v>464.625</v>
      </c>
      <c r="J26" s="139">
        <f>IF(Input!$I$16="",0,IF(B26=Input!$I$16,Input!$I$15,IF(B26=Input!$I$16+12,Input!$I$15*(1+annual_incr_advtg),IF(B26=Input!$I$16+24,Input!$I$15*(1+annual_incr_advtg)^2,IF(B26=Input!$I$16+36,Input!$I$15*(1+annual_incr_advtg)^3,IF(B26=Input!$I$16+48,Input!$I$15*(1+annual_incr_advtg)^4,IF(B26=Input!$I$16+60,Input!$I$15*(1+annual_incr_advtg)^5,IF(B26=Input!$I$16+72,Input!$I$15*(1+annual_incr_advtg)^6,IF(B26=Input!$I$16+84,Input!$I$15*(1+annual_incr_advtg)^7,IF(B26=Input!$I$16+96,Input!$I$15*(1+annual_incr_advtg)^8,IF(B26=Input!$I$16+108,Input!$I$15*(1+annual_incr_advtg)^9,IF(B26=Input!$I$16+120,Input!$I$15*(1+annual_incr_advtg)^10,0))))))))))))</f>
        <v>0</v>
      </c>
      <c r="K26" s="139">
        <f>IF(Input!$I$19="",0,IF(B26=Input!$I$19,Input!$I$18,IF(B26=Input!$I$19+12,Input!$I$18*(1+annual_incr_other1),IF(B26=Input!$I$19+24,Input!$I$18*(1+annual_incr_other1)^2,IF(B26=Input!$I$19+36,Input!$I$18*(1+annual_incr_other1)^3,IF(B26=Input!$I$19+48,Input!$I$18*(1+annual_incr_other1)^4,IF(B26=Input!$I$19+60,Input!$I$18*(1+annual_incr_other1)^5,IF(B26=Input!$I$19+72,Input!$I$18*(1+annual_incr_other1)^6,IF(B26=Input!$I$19+84,Input!$I$18*(1+annual_incr_other1)^7,IF(B26=Input!$I$19+96,Input!$I$18*(1+annual_incr_other1)^8,IF(B26=Input!$I$19+108,Input!$I$18*(1+annual_incr_other1)^9,IF(B26=Input!$I$19+120,Input!$I$18*(1+annual_incr_other1)^10,0))))))))))))</f>
        <v>0</v>
      </c>
      <c r="L26" s="156">
        <f>IF(OR(Input!$I$22="",B26&lt;Input!$I$22),0,IF(AND(B26&gt;=Input!$I$22,B26&lt;Input!$I$22+12),Input!$I$21,IF(B26=Input!$I$22+12,Input!$I$21*(1+annual_incr_other2),IF(B26=Input!$I$22+24,Input!$I$21*(1+annual_incr_other2)^2,IF(B26=Input!$I$22+36,Input!$I$21*(1+annual_incr_other2)^3,IF(B26=Input!$I$22+48,Input!$I$21*(1+annual_incr_other2)^4,IF(B26=Input!$I$22+60,Input!$I$21*(1+annual_incr_other2)^5,IF(B26=Input!$I$22+72,Input!$I$21*(1+annual_incr_other2)^6,IF(B26=Input!$I$22+84,Input!$I$21*(1+annual_incr_other2)^7,IF(B26=Input!$I$22+96,Input!$I$21*(1+annual_incr_other2)^8,IF(B26=Input!$I$22+108,Input!$I$21*(1+annual_incr_other2)^9,IF(B26=Input!$I$22+120,Input!$I$21*(1+annual_incr_other2)^10,L25))))))))))))</f>
        <v>563.75</v>
      </c>
      <c r="M26" s="139">
        <f>IF(OR(Input!$I$27="",B26&lt;Input!$I$27),0,E26*mgmt_fee)</f>
        <v>1368</v>
      </c>
      <c r="N26" s="139">
        <f>IF(OR(Input!$I$29="",B26&lt;Input!$I$29),0,E26*repairs_maint)</f>
        <v>1672</v>
      </c>
      <c r="O26" s="149">
        <f>IF(Input!$I$31="",0,IF(OR(B26=Input!$I$31,B26=Input!$I$31+12,B26=Input!$I$31+24,B26=Input!$I$31+36,B26=Input!$I$31+48,B26=Input!$I$31+60,B26=Input!$I$31+72,B26=Input!$I$31+84,B26=Input!$I$31+96,B26=Input!$I$31+108,B26=Input!$I$31+120),E26*other_3,0))</f>
        <v>0</v>
      </c>
      <c r="P26" s="158">
        <f t="shared" si="13"/>
        <v>4068.375</v>
      </c>
      <c r="Q26" s="159">
        <f t="shared" si="14"/>
        <v>147931.625</v>
      </c>
      <c r="R26" s="160"/>
      <c r="S26" s="161">
        <f>IF(AND(leveraged_property,B26&lt;=amort_period),-IPMT(interest_rate/12,B26,amort_period,loan_amount),0)</f>
        <v>42493.600338405384</v>
      </c>
      <c r="T26" s="149">
        <f t="shared" si="15"/>
        <v>11446.354789559846</v>
      </c>
      <c r="U26" s="149">
        <f>IF(AND(leveraged_property,B26&lt;=amort_period),-PMT(interest_rate/12,amort_period,loan_amount),0)</f>
        <v>53939.95512796523</v>
      </c>
      <c r="V26" s="149">
        <f t="shared" si="16"/>
        <v>9259884.6281352509</v>
      </c>
      <c r="W26" s="160"/>
      <c r="X26" s="149">
        <f t="shared" si="17"/>
        <v>90562.5</v>
      </c>
      <c r="Y26" s="162">
        <f t="shared" si="18"/>
        <v>21735000</v>
      </c>
      <c r="Z26" s="156">
        <f t="shared" si="1"/>
        <v>23341963.04493</v>
      </c>
      <c r="AA26" s="163">
        <f t="shared" ca="1" si="2"/>
        <v>23341963.04493</v>
      </c>
      <c r="AB26" s="160"/>
      <c r="AC26" s="164">
        <f>Input!$C$25/12</f>
        <v>26538.461538461535</v>
      </c>
      <c r="AD26" s="139">
        <f t="shared" si="3"/>
        <v>78899.563123133092</v>
      </c>
      <c r="AE26" s="149">
        <f t="shared" si="4"/>
        <v>23669.868936939925</v>
      </c>
      <c r="AF26" s="139">
        <f ca="1">IF(AA26=0,0,AA26-(total_initial_cost-SUM($AC$5:AC26)))</f>
        <v>3225809.198776152</v>
      </c>
      <c r="AG26" s="139">
        <f t="shared" ca="1" si="5"/>
        <v>645161.83975523047</v>
      </c>
      <c r="AH26" s="149">
        <f t="shared" ca="1" si="19"/>
        <v>22696801.20517477</v>
      </c>
      <c r="AI26" s="103"/>
      <c r="AJ26" s="165">
        <f t="shared" ca="1" si="6"/>
        <v>1996801.2051747702</v>
      </c>
      <c r="AK26" s="165">
        <f t="shared" ca="1" si="22"/>
        <v>2919886.2676874651</v>
      </c>
      <c r="AL26" s="300">
        <f t="shared" ca="1" si="23"/>
        <v>0.26070413104352369</v>
      </c>
      <c r="AM26" s="300">
        <f t="shared" si="24"/>
        <v>9.359357263075152E-2</v>
      </c>
      <c r="AN26" s="300">
        <f t="shared" si="25"/>
        <v>8.1909539855072461E-2</v>
      </c>
      <c r="AO26" s="301">
        <f>IF(leveraged_property,SUM(Q15:Q26)/SUM(U15:U26),"N/A")</f>
        <v>2.6194674414318517</v>
      </c>
      <c r="AP26" s="103"/>
      <c r="AQ26" s="149">
        <f t="shared" si="20"/>
        <v>93991.669872034778</v>
      </c>
      <c r="AR26" s="149">
        <f t="shared" ca="1" si="7"/>
        <v>14176070.086666783</v>
      </c>
      <c r="AS26" s="288">
        <f ca="1">IF(down_payment&lt;=0,"N/A",IRR(($AQ$4:AQ25,AR26),))</f>
        <v>1.7457728460127352E-2</v>
      </c>
      <c r="AT26" s="290">
        <f t="shared" ca="1" si="8"/>
        <v>0.23082554067268024</v>
      </c>
      <c r="AU26" s="288">
        <f ca="1">IF(down_payment&lt;=0,"N/A",MIRR(($AQ$4:AQ25,AR26),finance_rate,reinvestment_rate))</f>
        <v>1.7286137502216414E-2</v>
      </c>
      <c r="AV26" s="290">
        <f t="shared" ca="1" si="9"/>
        <v>0.22833695282473943</v>
      </c>
      <c r="AW26" s="103"/>
      <c r="AX26" s="152">
        <f t="shared" si="10"/>
        <v>70321.800935094856</v>
      </c>
      <c r="AY26" s="296" t="str">
        <f>IF(AND(B26=$BA$4,OR(down_payment&lt;=0,purchase_date="")),"N/A",IF(B26=$BA$4,XIRR(AX$4:AX26,A$4:A26),""))</f>
        <v/>
      </c>
      <c r="BA26" s="178"/>
    </row>
    <row r="27" spans="1:53">
      <c r="A27" s="137">
        <f t="shared" si="21"/>
        <v>40862</v>
      </c>
      <c r="B27" s="138">
        <f t="shared" si="11"/>
        <v>23</v>
      </c>
      <c r="C27" s="139">
        <f>C26+(C26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27" s="139">
        <f t="shared" si="0"/>
        <v>8000</v>
      </c>
      <c r="E27" s="140">
        <f t="shared" si="12"/>
        <v>152000</v>
      </c>
      <c r="F27" s="141"/>
      <c r="G27" s="157">
        <f>IF(Input!$I$7="",0,IF(B27=Input!$I$7,Input!$I$6,IF(B27=Input!$I$7+12,Input!$I$6*(1+annual_incr_proptax),IF(B27=Input!$I$7+24,Input!$I$6*(1+annual_incr_proptax)^2,IF(B27=Input!$I$7+36,Input!$I$6*(1+annual_incr_proptax)^3,IF(B27=Input!$I$7+48,Input!$I$6*(1+annual_incr_proptax)^4,IF(B27=Input!$I$7+60,Input!$I$6*(1+annual_incr_proptax)^5,IF(B27=Input!$I$7+72,Input!$I$6*(1+annual_incr_proptax)^6,IF(B27=Input!$I$7+84,Input!$I$6*(1+annual_incr_proptax)^7,IF(B27=Input!$I$7+96,Input!$I$6*(1+annual_incr_proptax)^8,IF(B27=Input!$I$7+108,Input!$I$6*(1+annual_incr_proptax)^9,IF(B27=Input!$I$7+120,Input!$I$6*(1+annual_incr_proptax)^10,0))))))))))))</f>
        <v>0</v>
      </c>
      <c r="H27" s="139">
        <f>IF(Input!$I$10="",0,IF(B27=Input!$I$10,Input!$I$9,IF(B27=Input!$I$10+12,Input!$I$9*(1+annual_incr_ins),IF(B27=Input!$I$10+24,Input!$I$9*(1+annual_incr_ins)^2,IF(B27=Input!$I$10+36,Input!$I$9*(1+annual_incr_ins)^3,IF(B27=Input!$I$10+48,Input!$I$9*(1+annual_incr_ins)^4,IF(B27=Input!$I$10+60,Input!$I$9*(1+annual_incr_ins)^5,IF(B27=Input!$I$10+72,Input!$I$9*(1+annual_incr_ins)^6,IF(B27=Input!$I$10+84,Input!$I$9*(1+annual_incr_ins)^7,IF(B27=Input!$I$10+96,Input!$I$9*(1+annual_incr_ins)^8,IF(B27=Input!$I$10+108,Input!$I$9*(1+annual_incr_ins)^9,IF(B27=Input!$I$10+120,Input!$I$9*(1+annual_incr_ins)^10,0))))))))))))</f>
        <v>0</v>
      </c>
      <c r="I27" s="139">
        <f>IF(OR(Input!$I$13="",B27&lt;Input!$I$13),0,IF(AND(B27&gt;=Input!$I$13,B27&lt;Input!$I$13+12),Input!$I$12,IF(B27=Input!$I$13+12,Input!$I$12*(1+annual_incr_util),IF(B27=Input!$I$13+24,Input!$I$12*(1+annual_incr_util)^2,IF(B27=Input!$I$13+36,Input!$I$12*(1+annual_incr_util)^3,IF(B27=Input!$I$13+48,Input!$I$12*(1+annual_incr_util)^4,IF(B27=Input!$I$13+60,Input!$I$12*(1+annual_incr_util)^5,IF(B27=Input!$I$13+72,Input!$I$12*(1+annual_incr_util)^6,IF(B27=Input!$I$13+84,Input!$I$12*(1+annual_incr_util)^7,IF(B27=Input!$I$13+96,Input!$I$12*(1+annual_incr_util)^8,IF(B27=Input!$I$13+108,Input!$I$12*(1+annual_incr_util)^9,IF(B27=Input!$I$13+120,Input!$I$12*(1+annual_incr_util)^10,I26))))))))))))</f>
        <v>464.625</v>
      </c>
      <c r="J27" s="139">
        <f>IF(Input!$I$16="",0,IF(B27=Input!$I$16,Input!$I$15,IF(B27=Input!$I$16+12,Input!$I$15*(1+annual_incr_advtg),IF(B27=Input!$I$16+24,Input!$I$15*(1+annual_incr_advtg)^2,IF(B27=Input!$I$16+36,Input!$I$15*(1+annual_incr_advtg)^3,IF(B27=Input!$I$16+48,Input!$I$15*(1+annual_incr_advtg)^4,IF(B27=Input!$I$16+60,Input!$I$15*(1+annual_incr_advtg)^5,IF(B27=Input!$I$16+72,Input!$I$15*(1+annual_incr_advtg)^6,IF(B27=Input!$I$16+84,Input!$I$15*(1+annual_incr_advtg)^7,IF(B27=Input!$I$16+96,Input!$I$15*(1+annual_incr_advtg)^8,IF(B27=Input!$I$16+108,Input!$I$15*(1+annual_incr_advtg)^9,IF(B27=Input!$I$16+120,Input!$I$15*(1+annual_incr_advtg)^10,0))))))))))))</f>
        <v>0</v>
      </c>
      <c r="K27" s="139">
        <f>IF(Input!$I$19="",0,IF(B27=Input!$I$19,Input!$I$18,IF(B27=Input!$I$19+12,Input!$I$18*(1+annual_incr_other1),IF(B27=Input!$I$19+24,Input!$I$18*(1+annual_incr_other1)^2,IF(B27=Input!$I$19+36,Input!$I$18*(1+annual_incr_other1)^3,IF(B27=Input!$I$19+48,Input!$I$18*(1+annual_incr_other1)^4,IF(B27=Input!$I$19+60,Input!$I$18*(1+annual_incr_other1)^5,IF(B27=Input!$I$19+72,Input!$I$18*(1+annual_incr_other1)^6,IF(B27=Input!$I$19+84,Input!$I$18*(1+annual_incr_other1)^7,IF(B27=Input!$I$19+96,Input!$I$18*(1+annual_incr_other1)^8,IF(B27=Input!$I$19+108,Input!$I$18*(1+annual_incr_other1)^9,IF(B27=Input!$I$19+120,Input!$I$18*(1+annual_incr_other1)^10,0))))))))))))</f>
        <v>0</v>
      </c>
      <c r="L27" s="156">
        <f>IF(OR(Input!$I$22="",B27&lt;Input!$I$22),0,IF(AND(B27&gt;=Input!$I$22,B27&lt;Input!$I$22+12),Input!$I$21,IF(B27=Input!$I$22+12,Input!$I$21*(1+annual_incr_other2),IF(B27=Input!$I$22+24,Input!$I$21*(1+annual_incr_other2)^2,IF(B27=Input!$I$22+36,Input!$I$21*(1+annual_incr_other2)^3,IF(B27=Input!$I$22+48,Input!$I$21*(1+annual_incr_other2)^4,IF(B27=Input!$I$22+60,Input!$I$21*(1+annual_incr_other2)^5,IF(B27=Input!$I$22+72,Input!$I$21*(1+annual_incr_other2)^6,IF(B27=Input!$I$22+84,Input!$I$21*(1+annual_incr_other2)^7,IF(B27=Input!$I$22+96,Input!$I$21*(1+annual_incr_other2)^8,IF(B27=Input!$I$22+108,Input!$I$21*(1+annual_incr_other2)^9,IF(B27=Input!$I$22+120,Input!$I$21*(1+annual_incr_other2)^10,L26))))))))))))</f>
        <v>563.75</v>
      </c>
      <c r="M27" s="139">
        <f>IF(OR(Input!$I$27="",B27&lt;Input!$I$27),0,E27*mgmt_fee)</f>
        <v>1368</v>
      </c>
      <c r="N27" s="139">
        <f>IF(OR(Input!$I$29="",B27&lt;Input!$I$29),0,E27*repairs_maint)</f>
        <v>1672</v>
      </c>
      <c r="O27" s="149">
        <f>IF(Input!$I$31="",0,IF(OR(B27=Input!$I$31,B27=Input!$I$31+12,B27=Input!$I$31+24,B27=Input!$I$31+36,B27=Input!$I$31+48,B27=Input!$I$31+60,B27=Input!$I$31+72,B27=Input!$I$31+84,B27=Input!$I$31+96,B27=Input!$I$31+108,B27=Input!$I$31+120),E27*other_3,0))</f>
        <v>0</v>
      </c>
      <c r="P27" s="158">
        <f t="shared" si="13"/>
        <v>4068.375</v>
      </c>
      <c r="Q27" s="159">
        <f t="shared" si="14"/>
        <v>147931.625</v>
      </c>
      <c r="R27" s="160"/>
      <c r="S27" s="161">
        <f>IF(AND(leveraged_property,B27&lt;=amort_period),-IPMT(interest_rate/12,B27,amort_period,loan_amount),0)</f>
        <v>42441.137878953232</v>
      </c>
      <c r="T27" s="149">
        <f t="shared" si="15"/>
        <v>11498.817249011998</v>
      </c>
      <c r="U27" s="149">
        <f>IF(AND(leveraged_property,B27&lt;=amort_period),-PMT(interest_rate/12,amort_period,loan_amount),0)</f>
        <v>53939.95512796523</v>
      </c>
      <c r="V27" s="149">
        <f t="shared" si="16"/>
        <v>9248385.8108862396</v>
      </c>
      <c r="W27" s="160"/>
      <c r="X27" s="149">
        <f t="shared" si="17"/>
        <v>90562.5</v>
      </c>
      <c r="Y27" s="162">
        <f t="shared" si="18"/>
        <v>21821940</v>
      </c>
      <c r="Z27" s="156">
        <f t="shared" si="1"/>
        <v>23645491.116179995</v>
      </c>
      <c r="AA27" s="163">
        <f t="shared" ca="1" si="2"/>
        <v>23645491.116179995</v>
      </c>
      <c r="AB27" s="160"/>
      <c r="AC27" s="164">
        <f>Input!$C$25/12</f>
        <v>26538.461538461535</v>
      </c>
      <c r="AD27" s="139">
        <f t="shared" si="3"/>
        <v>78952.025582585236</v>
      </c>
      <c r="AE27" s="149">
        <f t="shared" si="4"/>
        <v>23685.607674775569</v>
      </c>
      <c r="AF27" s="139">
        <f ca="1">IF(AA27=0,0,AA27-(total_initial_cost-SUM($AC$5:AC27)))</f>
        <v>3555875.7315646112</v>
      </c>
      <c r="AG27" s="139">
        <f t="shared" ca="1" si="5"/>
        <v>711175.14631292224</v>
      </c>
      <c r="AH27" s="149">
        <f t="shared" ca="1" si="19"/>
        <v>22934315.969867073</v>
      </c>
      <c r="AI27" s="103"/>
      <c r="AJ27" s="165">
        <f t="shared" ca="1" si="6"/>
        <v>2234315.969867073</v>
      </c>
      <c r="AK27" s="165">
        <f t="shared" ca="1" si="22"/>
        <v>3157810.9627577015</v>
      </c>
      <c r="AL27" s="300">
        <f t="shared" ca="1" si="23"/>
        <v>0.28194740738908047</v>
      </c>
      <c r="AM27" s="300">
        <f t="shared" si="24"/>
        <v>9.3591039148608682E-2</v>
      </c>
      <c r="AN27" s="300">
        <f t="shared" si="25"/>
        <v>8.1908169082125615E-2</v>
      </c>
      <c r="AO27" s="301">
        <f>IF(leveraged_property,SUM(Q16:Q27)/SUM(U16:U27),"N/A")</f>
        <v>2.6194236041070393</v>
      </c>
      <c r="AP27" s="103"/>
      <c r="AQ27" s="149">
        <f t="shared" si="20"/>
        <v>93991.669872034778</v>
      </c>
      <c r="AR27" s="149">
        <f t="shared" ca="1" si="7"/>
        <v>14491096.97516579</v>
      </c>
      <c r="AS27" s="288">
        <f ca="1">IF(down_payment&lt;=0,"N/A",IRR(($AQ$4:AQ26,AR27),))</f>
        <v>1.7922721759498307E-2</v>
      </c>
      <c r="AT27" s="290">
        <f t="shared" ca="1" si="8"/>
        <v>0.23759260010803129</v>
      </c>
      <c r="AU27" s="288">
        <f ca="1">IF(down_payment&lt;=0,"N/A",MIRR(($AQ$4:AQ26,AR27),finance_rate,reinvestment_rate))</f>
        <v>1.77114068899209E-2</v>
      </c>
      <c r="AV27" s="290">
        <f t="shared" ca="1" si="9"/>
        <v>0.23451311296058264</v>
      </c>
      <c r="AW27" s="103"/>
      <c r="AX27" s="152">
        <f t="shared" si="10"/>
        <v>70306.062197259205</v>
      </c>
      <c r="AY27" s="296" t="str">
        <f>IF(AND(B27=$BA$4,OR(down_payment&lt;=0,purchase_date="")),"N/A",IF(B27=$BA$4,XIRR(AX$4:AX27,A$4:A27),""))</f>
        <v/>
      </c>
      <c r="BA27" s="178"/>
    </row>
    <row r="28" spans="1:53">
      <c r="A28" s="181">
        <f t="shared" si="21"/>
        <v>40892</v>
      </c>
      <c r="B28" s="182">
        <f t="shared" si="11"/>
        <v>24</v>
      </c>
      <c r="C28" s="183">
        <f>C27+(C27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160000</v>
      </c>
      <c r="D28" s="183">
        <f t="shared" si="0"/>
        <v>8000</v>
      </c>
      <c r="E28" s="184">
        <f t="shared" si="12"/>
        <v>152000</v>
      </c>
      <c r="F28" s="141"/>
      <c r="G28" s="185">
        <f>IF(Input!$I$7="",0,IF(B28=Input!$I$7,Input!$I$6,IF(B28=Input!$I$7+12,Input!$I$6*(1+annual_incr_proptax),IF(B28=Input!$I$7+24,Input!$I$6*(1+annual_incr_proptax)^2,IF(B28=Input!$I$7+36,Input!$I$6*(1+annual_incr_proptax)^3,IF(B28=Input!$I$7+48,Input!$I$6*(1+annual_incr_proptax)^4,IF(B28=Input!$I$7+60,Input!$I$6*(1+annual_incr_proptax)^5,IF(B28=Input!$I$7+72,Input!$I$6*(1+annual_incr_proptax)^6,IF(B28=Input!$I$7+84,Input!$I$6*(1+annual_incr_proptax)^7,IF(B28=Input!$I$7+96,Input!$I$6*(1+annual_incr_proptax)^8,IF(B28=Input!$I$7+108,Input!$I$6*(1+annual_incr_proptax)^9,IF(B28=Input!$I$7+120,Input!$I$6*(1+annual_incr_proptax)^10,0))))))))))))</f>
        <v>0</v>
      </c>
      <c r="H28" s="183">
        <f>IF(Input!$I$10="",0,IF(B28=Input!$I$10,Input!$I$9,IF(B28=Input!$I$10+12,Input!$I$9*(1+annual_incr_ins),IF(B28=Input!$I$10+24,Input!$I$9*(1+annual_incr_ins)^2,IF(B28=Input!$I$10+36,Input!$I$9*(1+annual_incr_ins)^3,IF(B28=Input!$I$10+48,Input!$I$9*(1+annual_incr_ins)^4,IF(B28=Input!$I$10+60,Input!$I$9*(1+annual_incr_ins)^5,IF(B28=Input!$I$10+72,Input!$I$9*(1+annual_incr_ins)^6,IF(B28=Input!$I$10+84,Input!$I$9*(1+annual_incr_ins)^7,IF(B28=Input!$I$10+96,Input!$I$9*(1+annual_incr_ins)^8,IF(B28=Input!$I$10+108,Input!$I$9*(1+annual_incr_ins)^9,IF(B28=Input!$I$10+120,Input!$I$9*(1+annual_incr_ins)^10,0))))))))))))</f>
        <v>0</v>
      </c>
      <c r="I28" s="183">
        <f>IF(OR(Input!$I$13="",B28&lt;Input!$I$13),0,IF(AND(B28&gt;=Input!$I$13,B28&lt;Input!$I$13+12),Input!$I$12,IF(B28=Input!$I$13+12,Input!$I$12*(1+annual_incr_util),IF(B28=Input!$I$13+24,Input!$I$12*(1+annual_incr_util)^2,IF(B28=Input!$I$13+36,Input!$I$12*(1+annual_incr_util)^3,IF(B28=Input!$I$13+48,Input!$I$12*(1+annual_incr_util)^4,IF(B28=Input!$I$13+60,Input!$I$12*(1+annual_incr_util)^5,IF(B28=Input!$I$13+72,Input!$I$12*(1+annual_incr_util)^6,IF(B28=Input!$I$13+84,Input!$I$12*(1+annual_incr_util)^7,IF(B28=Input!$I$13+96,Input!$I$12*(1+annual_incr_util)^8,IF(B28=Input!$I$13+108,Input!$I$12*(1+annual_incr_util)^9,IF(B28=Input!$I$13+120,Input!$I$12*(1+annual_incr_util)^10,I27))))))))))))</f>
        <v>464.625</v>
      </c>
      <c r="J28" s="183">
        <f>IF(Input!$I$16="",0,IF(B28=Input!$I$16,Input!$I$15,IF(B28=Input!$I$16+12,Input!$I$15*(1+annual_incr_advtg),IF(B28=Input!$I$16+24,Input!$I$15*(1+annual_incr_advtg)^2,IF(B28=Input!$I$16+36,Input!$I$15*(1+annual_incr_advtg)^3,IF(B28=Input!$I$16+48,Input!$I$15*(1+annual_incr_advtg)^4,IF(B28=Input!$I$16+60,Input!$I$15*(1+annual_incr_advtg)^5,IF(B28=Input!$I$16+72,Input!$I$15*(1+annual_incr_advtg)^6,IF(B28=Input!$I$16+84,Input!$I$15*(1+annual_incr_advtg)^7,IF(B28=Input!$I$16+96,Input!$I$15*(1+annual_incr_advtg)^8,IF(B28=Input!$I$16+108,Input!$I$15*(1+annual_incr_advtg)^9,IF(B28=Input!$I$16+120,Input!$I$15*(1+annual_incr_advtg)^10,0))))))))))))</f>
        <v>0</v>
      </c>
      <c r="K28" s="183">
        <f>IF(Input!$I$19="",0,IF(B28=Input!$I$19,Input!$I$18,IF(B28=Input!$I$19+12,Input!$I$18*(1+annual_incr_other1),IF(B28=Input!$I$19+24,Input!$I$18*(1+annual_incr_other1)^2,IF(B28=Input!$I$19+36,Input!$I$18*(1+annual_incr_other1)^3,IF(B28=Input!$I$19+48,Input!$I$18*(1+annual_incr_other1)^4,IF(B28=Input!$I$19+60,Input!$I$18*(1+annual_incr_other1)^5,IF(B28=Input!$I$19+72,Input!$I$18*(1+annual_incr_other1)^6,IF(B28=Input!$I$19+84,Input!$I$18*(1+annual_incr_other1)^7,IF(B28=Input!$I$19+96,Input!$I$18*(1+annual_incr_other1)^8,IF(B28=Input!$I$19+108,Input!$I$18*(1+annual_incr_other1)^9,IF(B28=Input!$I$19+120,Input!$I$18*(1+annual_incr_other1)^10,0))))))))))))</f>
        <v>0</v>
      </c>
      <c r="L28" s="183">
        <f>IF(OR(Input!$I$22="",B28&lt;Input!$I$22),0,IF(AND(B28&gt;=Input!$I$22,B28&lt;Input!$I$22+12),Input!$I$21,IF(B28=Input!$I$22+12,Input!$I$21*(1+annual_incr_other2),IF(B28=Input!$I$22+24,Input!$I$21*(1+annual_incr_other2)^2,IF(B28=Input!$I$22+36,Input!$I$21*(1+annual_incr_other2)^3,IF(B28=Input!$I$22+48,Input!$I$21*(1+annual_incr_other2)^4,IF(B28=Input!$I$22+60,Input!$I$21*(1+annual_incr_other2)^5,IF(B28=Input!$I$22+72,Input!$I$21*(1+annual_incr_other2)^6,IF(B28=Input!$I$22+84,Input!$I$21*(1+annual_incr_other2)^7,IF(B28=Input!$I$22+96,Input!$I$21*(1+annual_incr_other2)^8,IF(B28=Input!$I$22+108,Input!$I$21*(1+annual_incr_other2)^9,IF(B28=Input!$I$22+120,Input!$I$21*(1+annual_incr_other2)^10,L27))))))))))))</f>
        <v>563.75</v>
      </c>
      <c r="M28" s="183">
        <f>IF(OR(Input!$I$27="",B28&lt;Input!$I$27),0,E28*mgmt_fee)</f>
        <v>1368</v>
      </c>
      <c r="N28" s="183">
        <f>IF(OR(Input!$I$29="",B28&lt;Input!$I$29),0,E28*repairs_maint)</f>
        <v>1672</v>
      </c>
      <c r="O28" s="186">
        <f>IF(Input!$I$31="",0,IF(OR(B28=Input!$I$31,B28=Input!$I$31+12,B28=Input!$I$31+24,B28=Input!$I$31+36,B28=Input!$I$31+48,B28=Input!$I$31+60,B28=Input!$I$31+72,B28=Input!$I$31+84,B28=Input!$I$31+96,B28=Input!$I$31+108,B28=Input!$I$31+120),E28*other_3,0))</f>
        <v>0</v>
      </c>
      <c r="P28" s="187">
        <f t="shared" si="13"/>
        <v>4068.375</v>
      </c>
      <c r="Q28" s="188">
        <f t="shared" si="14"/>
        <v>147931.625</v>
      </c>
      <c r="R28" s="160"/>
      <c r="S28" s="189">
        <f>IF(AND(leveraged_property,B28&lt;=amort_period),-IPMT(interest_rate/12,B28,amort_period,loan_amount),0)</f>
        <v>42388.43496656193</v>
      </c>
      <c r="T28" s="186">
        <f t="shared" si="15"/>
        <v>11551.520161403299</v>
      </c>
      <c r="U28" s="186">
        <f>IF(AND(leveraged_property,B28&lt;=amort_period),-PMT(interest_rate/12,amort_period,loan_amount),0)</f>
        <v>53939.95512796523</v>
      </c>
      <c r="V28" s="186">
        <f t="shared" si="16"/>
        <v>9236834.2907248363</v>
      </c>
      <c r="W28" s="160"/>
      <c r="X28" s="186">
        <f t="shared" si="17"/>
        <v>90562.5</v>
      </c>
      <c r="Y28" s="186">
        <f t="shared" si="18"/>
        <v>21908880</v>
      </c>
      <c r="Z28" s="183">
        <f t="shared" si="1"/>
        <v>23949019.187429994</v>
      </c>
      <c r="AA28" s="188">
        <f t="shared" ca="1" si="2"/>
        <v>23949019.187429994</v>
      </c>
      <c r="AB28" s="160"/>
      <c r="AC28" s="190">
        <f>Input!$C$25/12</f>
        <v>26538.461538461535</v>
      </c>
      <c r="AD28" s="183">
        <f t="shared" si="3"/>
        <v>79004.728494976531</v>
      </c>
      <c r="AE28" s="186">
        <f t="shared" si="4"/>
        <v>23701.418548492959</v>
      </c>
      <c r="AF28" s="183">
        <f ca="1">IF(AA28=0,0,AA28-(total_initial_cost-SUM($AC$5:AC28)))</f>
        <v>3885942.2643530704</v>
      </c>
      <c r="AG28" s="183">
        <f t="shared" ca="1" si="5"/>
        <v>777188.45287061413</v>
      </c>
      <c r="AH28" s="186">
        <f t="shared" ca="1" si="19"/>
        <v>23171830.73455938</v>
      </c>
      <c r="AI28" s="103"/>
      <c r="AJ28" s="191">
        <f t="shared" ca="1" si="6"/>
        <v>2471830.7345593795</v>
      </c>
      <c r="AK28" s="191">
        <f t="shared" ca="1" si="22"/>
        <v>3395737.6277119652</v>
      </c>
      <c r="AL28" s="298">
        <f t="shared" ca="1" si="23"/>
        <v>0.30319085961713976</v>
      </c>
      <c r="AM28" s="298">
        <f t="shared" si="24"/>
        <v>9.3588505666465829E-2</v>
      </c>
      <c r="AN28" s="298">
        <f t="shared" si="25"/>
        <v>8.1906798309178755E-2</v>
      </c>
      <c r="AO28" s="299">
        <f>IF(leveraged_property,SUM(Q17:Q28)/SUM(U17:U28),"N/A")</f>
        <v>2.6193797667822265</v>
      </c>
      <c r="AP28" s="103"/>
      <c r="AQ28" s="186">
        <f t="shared" si="20"/>
        <v>93991.669872034778</v>
      </c>
      <c r="AR28" s="186">
        <f t="shared" ca="1" si="7"/>
        <v>14806176.566577192</v>
      </c>
      <c r="AS28" s="289">
        <f ca="1">IF(down_payment&lt;=0,"N/A",IRR(($AQ$4:AQ27,AR28),))</f>
        <v>1.8325257866061768E-2</v>
      </c>
      <c r="AT28" s="291">
        <f t="shared" ca="1" si="8"/>
        <v>0.24347824122545147</v>
      </c>
      <c r="AU28" s="289">
        <f ca="1">IF(down_payment&lt;=0,"N/A",MIRR(($AQ$4:AQ27,AR28),finance_rate,reinvestment_rate))</f>
        <v>1.8076674712478091E-2</v>
      </c>
      <c r="AV28" s="291">
        <f t="shared" ca="1" si="9"/>
        <v>0.23984058535649244</v>
      </c>
      <c r="AW28" s="103"/>
      <c r="AX28" s="192">
        <f t="shared" si="10"/>
        <v>70290.251323541816</v>
      </c>
      <c r="AY28" s="296" t="str">
        <f>IF(AND(B28=$BA$4,OR(down_payment&lt;=0,purchase_date="")),"N/A",IF(B28=$BA$4,XIRR(AX$4:AX28,A$4:A28),""))</f>
        <v/>
      </c>
      <c r="BA28" s="178"/>
    </row>
    <row r="29" spans="1:53">
      <c r="A29" s="137">
        <f t="shared" si="21"/>
        <v>40923</v>
      </c>
      <c r="B29" s="138">
        <f t="shared" si="11"/>
        <v>25</v>
      </c>
      <c r="C29" s="139">
        <f>C28+(C28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29" s="139">
        <f t="shared" si="0"/>
        <v>9360</v>
      </c>
      <c r="E29" s="140">
        <f t="shared" si="12"/>
        <v>177840</v>
      </c>
      <c r="F29" s="141"/>
      <c r="G29" s="157">
        <f>IF(Input!$I$7="",0,IF(B29=Input!$I$7,Input!$I$6,IF(B29=Input!$I$7+12,Input!$I$6*(1+annual_incr_proptax),IF(B29=Input!$I$7+24,Input!$I$6*(1+annual_incr_proptax)^2,IF(B29=Input!$I$7+36,Input!$I$6*(1+annual_incr_proptax)^3,IF(B29=Input!$I$7+48,Input!$I$6*(1+annual_incr_proptax)^4,IF(B29=Input!$I$7+60,Input!$I$6*(1+annual_incr_proptax)^5,IF(B29=Input!$I$7+72,Input!$I$6*(1+annual_incr_proptax)^6,IF(B29=Input!$I$7+84,Input!$I$6*(1+annual_incr_proptax)^7,IF(B29=Input!$I$7+96,Input!$I$6*(1+annual_incr_proptax)^8,IF(B29=Input!$I$7+108,Input!$I$6*(1+annual_incr_proptax)^9,IF(B29=Input!$I$7+120,Input!$I$6*(1+annual_incr_proptax)^10,0))))))))))))</f>
        <v>0</v>
      </c>
      <c r="H29" s="139">
        <f>IF(Input!$I$10="",0,IF(B29=Input!$I$10,Input!$I$9,IF(B29=Input!$I$10+12,Input!$I$9*(1+annual_incr_ins),IF(B29=Input!$I$10+24,Input!$I$9*(1+annual_incr_ins)^2,IF(B29=Input!$I$10+36,Input!$I$9*(1+annual_incr_ins)^3,IF(B29=Input!$I$10+48,Input!$I$9*(1+annual_incr_ins)^4,IF(B29=Input!$I$10+60,Input!$I$9*(1+annual_incr_ins)^5,IF(B29=Input!$I$10+72,Input!$I$9*(1+annual_incr_ins)^6,IF(B29=Input!$I$10+84,Input!$I$9*(1+annual_incr_ins)^7,IF(B29=Input!$I$10+96,Input!$I$9*(1+annual_incr_ins)^8,IF(B29=Input!$I$10+108,Input!$I$9*(1+annual_incr_ins)^9,IF(B29=Input!$I$10+120,Input!$I$9*(1+annual_incr_ins)^10,0))))))))))))</f>
        <v>0</v>
      </c>
      <c r="I29" s="139">
        <f>IF(OR(Input!$I$13="",B29&lt;Input!$I$13),0,IF(AND(B29&gt;=Input!$I$13,B29&lt;Input!$I$13+12),Input!$I$12,IF(B29=Input!$I$13+12,Input!$I$12*(1+annual_incr_util),IF(B29=Input!$I$13+24,Input!$I$12*(1+annual_incr_util)^2,IF(B29=Input!$I$13+36,Input!$I$12*(1+annual_incr_util)^3,IF(B29=Input!$I$13+48,Input!$I$12*(1+annual_incr_util)^4,IF(B29=Input!$I$13+60,Input!$I$12*(1+annual_incr_util)^5,IF(B29=Input!$I$13+72,Input!$I$12*(1+annual_incr_util)^6,IF(B29=Input!$I$13+84,Input!$I$12*(1+annual_incr_util)^7,IF(B29=Input!$I$13+96,Input!$I$12*(1+annual_incr_util)^8,IF(B29=Input!$I$13+108,Input!$I$12*(1+annual_incr_util)^9,IF(B29=Input!$I$13+120,Input!$I$12*(1+annual_incr_util)^10,I28))))))))))))</f>
        <v>464.625</v>
      </c>
      <c r="J29" s="139">
        <f>IF(Input!$I$16="",0,IF(B29=Input!$I$16,Input!$I$15,IF(B29=Input!$I$16+12,Input!$I$15*(1+annual_incr_advtg),IF(B29=Input!$I$16+24,Input!$I$15*(1+annual_incr_advtg)^2,IF(B29=Input!$I$16+36,Input!$I$15*(1+annual_incr_advtg)^3,IF(B29=Input!$I$16+48,Input!$I$15*(1+annual_incr_advtg)^4,IF(B29=Input!$I$16+60,Input!$I$15*(1+annual_incr_advtg)^5,IF(B29=Input!$I$16+72,Input!$I$15*(1+annual_incr_advtg)^6,IF(B29=Input!$I$16+84,Input!$I$15*(1+annual_incr_advtg)^7,IF(B29=Input!$I$16+96,Input!$I$15*(1+annual_incr_advtg)^8,IF(B29=Input!$I$16+108,Input!$I$15*(1+annual_incr_advtg)^9,IF(B29=Input!$I$16+120,Input!$I$15*(1+annual_incr_advtg)^10,0))))))))))))</f>
        <v>0</v>
      </c>
      <c r="K29" s="139">
        <f>IF(Input!$I$19="",0,IF(B29=Input!$I$19,Input!$I$18,IF(B29=Input!$I$19+12,Input!$I$18*(1+annual_incr_other1),IF(B29=Input!$I$19+24,Input!$I$18*(1+annual_incr_other1)^2,IF(B29=Input!$I$19+36,Input!$I$18*(1+annual_incr_other1)^3,IF(B29=Input!$I$19+48,Input!$I$18*(1+annual_incr_other1)^4,IF(B29=Input!$I$19+60,Input!$I$18*(1+annual_incr_other1)^5,IF(B29=Input!$I$19+72,Input!$I$18*(1+annual_incr_other1)^6,IF(B29=Input!$I$19+84,Input!$I$18*(1+annual_incr_other1)^7,IF(B29=Input!$I$19+96,Input!$I$18*(1+annual_incr_other1)^8,IF(B29=Input!$I$19+108,Input!$I$18*(1+annual_incr_other1)^9,IF(B29=Input!$I$19+120,Input!$I$18*(1+annual_incr_other1)^10,0))))))))))))</f>
        <v>0</v>
      </c>
      <c r="L29" s="156">
        <f>IF(OR(Input!$I$22="",B29&lt;Input!$I$22),0,IF(AND(B29&gt;=Input!$I$22,B29&lt;Input!$I$22+12),Input!$I$21,IF(B29=Input!$I$22+12,Input!$I$21*(1+annual_incr_other2),IF(B29=Input!$I$22+24,Input!$I$21*(1+annual_incr_other2)^2,IF(B29=Input!$I$22+36,Input!$I$21*(1+annual_incr_other2)^3,IF(B29=Input!$I$22+48,Input!$I$21*(1+annual_incr_other2)^4,IF(B29=Input!$I$22+60,Input!$I$21*(1+annual_incr_other2)^5,IF(B29=Input!$I$22+72,Input!$I$21*(1+annual_incr_other2)^6,IF(B29=Input!$I$22+84,Input!$I$21*(1+annual_incr_other2)^7,IF(B29=Input!$I$22+96,Input!$I$21*(1+annual_incr_other2)^8,IF(B29=Input!$I$22+108,Input!$I$21*(1+annual_incr_other2)^9,IF(B29=Input!$I$22+120,Input!$I$21*(1+annual_incr_other2)^10,L28))))))))))))</f>
        <v>577.84375</v>
      </c>
      <c r="M29" s="139">
        <f>IF(OR(Input!$I$27="",B29&lt;Input!$I$27),0,E29*mgmt_fee)</f>
        <v>1600.56</v>
      </c>
      <c r="N29" s="139">
        <f>IF(OR(Input!$I$29="",B29&lt;Input!$I$29),0,E29*repairs_maint)</f>
        <v>1956.2399999999998</v>
      </c>
      <c r="O29" s="149">
        <f>IF(Input!$I$31="",0,IF(OR(B29=Input!$I$31,B29=Input!$I$31+12,B29=Input!$I$31+24,B29=Input!$I$31+36,B29=Input!$I$31+48,B29=Input!$I$31+60,B29=Input!$I$31+72,B29=Input!$I$31+84,B29=Input!$I$31+96,B29=Input!$I$31+108,B29=Input!$I$31+120),E29*other_3,0))</f>
        <v>0</v>
      </c>
      <c r="P29" s="158">
        <f t="shared" si="13"/>
        <v>4599.2687499999993</v>
      </c>
      <c r="Q29" s="159">
        <f t="shared" si="14"/>
        <v>173240.73125000001</v>
      </c>
      <c r="R29" s="160"/>
      <c r="S29" s="161">
        <f>IF(AND(leveraged_property,B29&lt;=amort_period),-IPMT(interest_rate/12,B29,amort_period,loan_amount),0)</f>
        <v>42335.490499155501</v>
      </c>
      <c r="T29" s="149">
        <f t="shared" si="15"/>
        <v>11604.464628809728</v>
      </c>
      <c r="U29" s="149">
        <f>IF(AND(leveraged_property,B29&lt;=amort_period),-PMT(interest_rate/12,amort_period,loan_amount),0)</f>
        <v>53939.95512796523</v>
      </c>
      <c r="V29" s="149">
        <f t="shared" si="16"/>
        <v>9225229.8260960262</v>
      </c>
      <c r="W29" s="160"/>
      <c r="X29" s="149">
        <f t="shared" si="17"/>
        <v>95090.625</v>
      </c>
      <c r="Y29" s="162">
        <f t="shared" si="18"/>
        <v>22000167</v>
      </c>
      <c r="Z29" s="156">
        <f t="shared" si="1"/>
        <v>23948664.630554996</v>
      </c>
      <c r="AA29" s="163">
        <f t="shared" ca="1" si="2"/>
        <v>23948664.630554996</v>
      </c>
      <c r="AB29" s="160"/>
      <c r="AC29" s="164">
        <f>Input!$C$25/12</f>
        <v>26538.461538461535</v>
      </c>
      <c r="AD29" s="139">
        <f t="shared" si="3"/>
        <v>104366.77921238297</v>
      </c>
      <c r="AE29" s="149">
        <f t="shared" si="4"/>
        <v>31310.033763714891</v>
      </c>
      <c r="AF29" s="139">
        <f ca="1">IF(AA29=0,0,AA29-(total_initial_cost-SUM($AC$5:AC29)))</f>
        <v>3912126.1690165363</v>
      </c>
      <c r="AG29" s="139">
        <f t="shared" ca="1" si="5"/>
        <v>782425.23380330729</v>
      </c>
      <c r="AH29" s="149">
        <f t="shared" ca="1" si="19"/>
        <v>23166239.396751691</v>
      </c>
      <c r="AI29" s="103"/>
      <c r="AJ29" s="165">
        <f t="shared" ca="1" si="6"/>
        <v>2466239.3967516907</v>
      </c>
      <c r="AK29" s="165">
        <f t="shared" ca="1" si="22"/>
        <v>3408286.1684538932</v>
      </c>
      <c r="AL29" s="300">
        <f t="shared" ca="1" si="23"/>
        <v>0.30431126504052619</v>
      </c>
      <c r="AM29" s="300">
        <f t="shared" si="24"/>
        <v>9.5846941492358687E-2</v>
      </c>
      <c r="AN29" s="300">
        <f t="shared" si="25"/>
        <v>8.3128753925120771E-2</v>
      </c>
      <c r="AO29" s="301">
        <f>IF(leveraged_property,SUM(Q18:Q29)/SUM(U18:U29),"N/A")</f>
        <v>2.6584579127039158</v>
      </c>
      <c r="AP29" s="103"/>
      <c r="AQ29" s="149">
        <f t="shared" si="20"/>
        <v>119300.77612203479</v>
      </c>
      <c r="AR29" s="149">
        <f t="shared" ca="1" si="7"/>
        <v>14842735.580581004</v>
      </c>
      <c r="AS29" s="288">
        <f ca="1">IF(down_payment&lt;=0,"N/A",IRR(($AQ$4:AQ28,AR29),))</f>
        <v>1.7974906858046803E-2</v>
      </c>
      <c r="AT29" s="290">
        <f t="shared" ca="1" si="8"/>
        <v>0.23835417586100816</v>
      </c>
      <c r="AU29" s="288">
        <f ca="1">IF(down_payment&lt;=0,"N/A",MIRR(($AQ$4:AQ28,AR29),finance_rate,reinvestment_rate))</f>
        <v>1.7742891538098382E-2</v>
      </c>
      <c r="AV29" s="290">
        <f t="shared" ca="1" si="9"/>
        <v>0.23497149231982628</v>
      </c>
      <c r="AW29" s="103"/>
      <c r="AX29" s="152">
        <f t="shared" si="10"/>
        <v>87990.742358319898</v>
      </c>
      <c r="AY29" s="296" t="str">
        <f>IF(AND(B29=$BA$4,OR(down_payment&lt;=0,purchase_date="")),"N/A",IF(B29=$BA$4,XIRR(AX$4:AX29,A$4:A29),""))</f>
        <v/>
      </c>
      <c r="BA29" s="178"/>
    </row>
    <row r="30" spans="1:53">
      <c r="A30" s="137">
        <f t="shared" si="21"/>
        <v>40954</v>
      </c>
      <c r="B30" s="138">
        <f t="shared" si="11"/>
        <v>26</v>
      </c>
      <c r="C30" s="139">
        <f>C29+(C29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0" s="139">
        <f t="shared" si="0"/>
        <v>9360</v>
      </c>
      <c r="E30" s="140">
        <f t="shared" si="12"/>
        <v>177840</v>
      </c>
      <c r="F30" s="141"/>
      <c r="G30" s="157">
        <f>IF(Input!$I$7="",0,IF(B30=Input!$I$7,Input!$I$6,IF(B30=Input!$I$7+12,Input!$I$6*(1+annual_incr_proptax),IF(B30=Input!$I$7+24,Input!$I$6*(1+annual_incr_proptax)^2,IF(B30=Input!$I$7+36,Input!$I$6*(1+annual_incr_proptax)^3,IF(B30=Input!$I$7+48,Input!$I$6*(1+annual_incr_proptax)^4,IF(B30=Input!$I$7+60,Input!$I$6*(1+annual_incr_proptax)^5,IF(B30=Input!$I$7+72,Input!$I$6*(1+annual_incr_proptax)^6,IF(B30=Input!$I$7+84,Input!$I$6*(1+annual_incr_proptax)^7,IF(B30=Input!$I$7+96,Input!$I$6*(1+annual_incr_proptax)^8,IF(B30=Input!$I$7+108,Input!$I$6*(1+annual_incr_proptax)^9,IF(B30=Input!$I$7+120,Input!$I$6*(1+annual_incr_proptax)^10,0))))))))))))</f>
        <v>50347.574999999997</v>
      </c>
      <c r="H30" s="139">
        <f>IF(Input!$I$10="",0,IF(B30=Input!$I$10,Input!$I$9,IF(B30=Input!$I$10+12,Input!$I$9*(1+annual_incr_ins),IF(B30=Input!$I$10+24,Input!$I$9*(1+annual_incr_ins)^2,IF(B30=Input!$I$10+36,Input!$I$9*(1+annual_incr_ins)^3,IF(B30=Input!$I$10+48,Input!$I$9*(1+annual_incr_ins)^4,IF(B30=Input!$I$10+60,Input!$I$9*(1+annual_incr_ins)^5,IF(B30=Input!$I$10+72,Input!$I$9*(1+annual_incr_ins)^6,IF(B30=Input!$I$10+84,Input!$I$9*(1+annual_incr_ins)^7,IF(B30=Input!$I$10+96,Input!$I$9*(1+annual_incr_ins)^8,IF(B30=Input!$I$10+108,Input!$I$9*(1+annual_incr_ins)^9,IF(B30=Input!$I$10+120,Input!$I$9*(1+annual_incr_ins)^10,0))))))))))))</f>
        <v>0</v>
      </c>
      <c r="I30" s="139">
        <f>IF(OR(Input!$I$13="",B30&lt;Input!$I$13),0,IF(AND(B30&gt;=Input!$I$13,B30&lt;Input!$I$13+12),Input!$I$12,IF(B30=Input!$I$13+12,Input!$I$12*(1+annual_incr_util),IF(B30=Input!$I$13+24,Input!$I$12*(1+annual_incr_util)^2,IF(B30=Input!$I$13+36,Input!$I$12*(1+annual_incr_util)^3,IF(B30=Input!$I$13+48,Input!$I$12*(1+annual_incr_util)^4,IF(B30=Input!$I$13+60,Input!$I$12*(1+annual_incr_util)^5,IF(B30=Input!$I$13+72,Input!$I$12*(1+annual_incr_util)^6,IF(B30=Input!$I$13+84,Input!$I$12*(1+annual_incr_util)^7,IF(B30=Input!$I$13+96,Input!$I$12*(1+annual_incr_util)^8,IF(B30=Input!$I$13+108,Input!$I$12*(1+annual_incr_util)^9,IF(B30=Input!$I$13+120,Input!$I$12*(1+annual_incr_util)^10,I29))))))))))))</f>
        <v>464.625</v>
      </c>
      <c r="J30" s="139">
        <f>IF(Input!$I$16="",0,IF(B30=Input!$I$16,Input!$I$15,IF(B30=Input!$I$16+12,Input!$I$15*(1+annual_incr_advtg),IF(B30=Input!$I$16+24,Input!$I$15*(1+annual_incr_advtg)^2,IF(B30=Input!$I$16+36,Input!$I$15*(1+annual_incr_advtg)^3,IF(B30=Input!$I$16+48,Input!$I$15*(1+annual_incr_advtg)^4,IF(B30=Input!$I$16+60,Input!$I$15*(1+annual_incr_advtg)^5,IF(B30=Input!$I$16+72,Input!$I$15*(1+annual_incr_advtg)^6,IF(B30=Input!$I$16+84,Input!$I$15*(1+annual_incr_advtg)^7,IF(B30=Input!$I$16+96,Input!$I$15*(1+annual_incr_advtg)^8,IF(B30=Input!$I$16+108,Input!$I$15*(1+annual_incr_advtg)^9,IF(B30=Input!$I$16+120,Input!$I$15*(1+annual_incr_advtg)^10,0))))))))))))</f>
        <v>0</v>
      </c>
      <c r="K30" s="139">
        <f>IF(Input!$I$19="",0,IF(B30=Input!$I$19,Input!$I$18,IF(B30=Input!$I$19+12,Input!$I$18*(1+annual_incr_other1),IF(B30=Input!$I$19+24,Input!$I$18*(1+annual_incr_other1)^2,IF(B30=Input!$I$19+36,Input!$I$18*(1+annual_incr_other1)^3,IF(B30=Input!$I$19+48,Input!$I$18*(1+annual_incr_other1)^4,IF(B30=Input!$I$19+60,Input!$I$18*(1+annual_incr_other1)^5,IF(B30=Input!$I$19+72,Input!$I$18*(1+annual_incr_other1)^6,IF(B30=Input!$I$19+84,Input!$I$18*(1+annual_incr_other1)^7,IF(B30=Input!$I$19+96,Input!$I$18*(1+annual_incr_other1)^8,IF(B30=Input!$I$19+108,Input!$I$18*(1+annual_incr_other1)^9,IF(B30=Input!$I$19+120,Input!$I$18*(1+annual_incr_other1)^10,0))))))))))))</f>
        <v>0</v>
      </c>
      <c r="L30" s="156">
        <f>IF(OR(Input!$I$22="",B30&lt;Input!$I$22),0,IF(AND(B30&gt;=Input!$I$22,B30&lt;Input!$I$22+12),Input!$I$21,IF(B30=Input!$I$22+12,Input!$I$21*(1+annual_incr_other2),IF(B30=Input!$I$22+24,Input!$I$21*(1+annual_incr_other2)^2,IF(B30=Input!$I$22+36,Input!$I$21*(1+annual_incr_other2)^3,IF(B30=Input!$I$22+48,Input!$I$21*(1+annual_incr_other2)^4,IF(B30=Input!$I$22+60,Input!$I$21*(1+annual_incr_other2)^5,IF(B30=Input!$I$22+72,Input!$I$21*(1+annual_incr_other2)^6,IF(B30=Input!$I$22+84,Input!$I$21*(1+annual_incr_other2)^7,IF(B30=Input!$I$22+96,Input!$I$21*(1+annual_incr_other2)^8,IF(B30=Input!$I$22+108,Input!$I$21*(1+annual_incr_other2)^9,IF(B30=Input!$I$22+120,Input!$I$21*(1+annual_incr_other2)^10,L29))))))))))))</f>
        <v>577.84375</v>
      </c>
      <c r="M30" s="139">
        <f>IF(OR(Input!$I$27="",B30&lt;Input!$I$27),0,E30*mgmt_fee)</f>
        <v>1600.56</v>
      </c>
      <c r="N30" s="139">
        <f>IF(OR(Input!$I$29="",B30&lt;Input!$I$29),0,E30*repairs_maint)</f>
        <v>1956.2399999999998</v>
      </c>
      <c r="O30" s="149">
        <f>IF(Input!$I$31="",0,IF(OR(B30=Input!$I$31,B30=Input!$I$31+12,B30=Input!$I$31+24,B30=Input!$I$31+36,B30=Input!$I$31+48,B30=Input!$I$31+60,B30=Input!$I$31+72,B30=Input!$I$31+84,B30=Input!$I$31+96,B30=Input!$I$31+108,B30=Input!$I$31+120),E30*other_3,0))</f>
        <v>2276.3520000000003</v>
      </c>
      <c r="P30" s="158">
        <f t="shared" si="13"/>
        <v>57223.195749999992</v>
      </c>
      <c r="Q30" s="159">
        <f t="shared" si="14"/>
        <v>120616.80425000002</v>
      </c>
      <c r="R30" s="160"/>
      <c r="S30" s="161">
        <f>IF(AND(leveraged_property,B30&lt;=amort_period),-IPMT(interest_rate/12,B30,amort_period,loan_amount),0)</f>
        <v>42282.303369606787</v>
      </c>
      <c r="T30" s="149">
        <f t="shared" si="15"/>
        <v>11657.651758358443</v>
      </c>
      <c r="U30" s="149">
        <f>IF(AND(leveraged_property,B30&lt;=amort_period),-PMT(interest_rate/12,amort_period,loan_amount),0)</f>
        <v>53939.95512796523</v>
      </c>
      <c r="V30" s="149">
        <f t="shared" si="16"/>
        <v>9213572.1743376683</v>
      </c>
      <c r="W30" s="160"/>
      <c r="X30" s="149">
        <f t="shared" si="17"/>
        <v>95090.625</v>
      </c>
      <c r="Y30" s="162">
        <f t="shared" si="18"/>
        <v>22091454</v>
      </c>
      <c r="Z30" s="156">
        <f t="shared" si="1"/>
        <v>23927164.092179995</v>
      </c>
      <c r="AA30" s="163">
        <f t="shared" ca="1" si="2"/>
        <v>23927164.092179995</v>
      </c>
      <c r="AB30" s="160"/>
      <c r="AC30" s="164">
        <f>Input!$C$25/12</f>
        <v>26538.461538461535</v>
      </c>
      <c r="AD30" s="139">
        <f t="shared" si="3"/>
        <v>51796.039341931697</v>
      </c>
      <c r="AE30" s="149">
        <f t="shared" si="4"/>
        <v>15538.811802579508</v>
      </c>
      <c r="AF30" s="139">
        <f ca="1">IF(AA30=0,0,AA30-(total_initial_cost-SUM($AC$5:AC30)))</f>
        <v>3917164.092179995</v>
      </c>
      <c r="AG30" s="139">
        <f t="shared" ca="1" si="5"/>
        <v>783432.8184359991</v>
      </c>
      <c r="AH30" s="149">
        <f t="shared" ca="1" si="19"/>
        <v>23143731.273743995</v>
      </c>
      <c r="AI30" s="103"/>
      <c r="AJ30" s="165">
        <f t="shared" ca="1" si="6"/>
        <v>2443731.2737439945</v>
      </c>
      <c r="AK30" s="165">
        <f t="shared" ca="1" si="22"/>
        <v>3402496.5830784882</v>
      </c>
      <c r="AL30" s="300">
        <f t="shared" ca="1" si="23"/>
        <v>0.30379433777486503</v>
      </c>
      <c r="AM30" s="300">
        <f t="shared" si="24"/>
        <v>9.7923830264680101E-2</v>
      </c>
      <c r="AN30" s="300">
        <f t="shared" si="25"/>
        <v>8.4252481183574882E-2</v>
      </c>
      <c r="AO30" s="301">
        <f>IF(leveraged_property,SUM(Q19:Q30)/SUM(U19:U30),"N/A")</f>
        <v>2.6943947153251764</v>
      </c>
      <c r="AP30" s="103"/>
      <c r="AQ30" s="149">
        <f t="shared" si="20"/>
        <v>66676.849122034793</v>
      </c>
      <c r="AR30" s="149">
        <f t="shared" ca="1" si="7"/>
        <v>14780268.766964363</v>
      </c>
      <c r="AS30" s="288">
        <f ca="1">IF(down_payment&lt;=0,"N/A",IRR(($AQ$4:AQ29,AR30),))</f>
        <v>1.7473420331597368E-2</v>
      </c>
      <c r="AT30" s="290">
        <f t="shared" ca="1" si="8"/>
        <v>0.23105335076081479</v>
      </c>
      <c r="AU30" s="288">
        <f ca="1">IF(down_payment&lt;=0,"N/A",MIRR(($AQ$4:AQ29,AR30),finance_rate,reinvestment_rate))</f>
        <v>1.7271813573761507E-2</v>
      </c>
      <c r="AV30" s="290">
        <f t="shared" ca="1" si="9"/>
        <v>0.22812942126639224</v>
      </c>
      <c r="AW30" s="103"/>
      <c r="AX30" s="152">
        <f t="shared" si="10"/>
        <v>51138.037319455281</v>
      </c>
      <c r="AY30" s="296" t="str">
        <f>IF(AND(B30=$BA$4,OR(down_payment&lt;=0,purchase_date="")),"N/A",IF(B30=$BA$4,XIRR(AX$4:AX30,A$4:A30),""))</f>
        <v/>
      </c>
      <c r="BA30" s="178"/>
    </row>
    <row r="31" spans="1:53">
      <c r="A31" s="137">
        <f t="shared" si="21"/>
        <v>40983</v>
      </c>
      <c r="B31" s="138">
        <f t="shared" si="11"/>
        <v>27</v>
      </c>
      <c r="C31" s="139">
        <f>C30+(C30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1" s="139">
        <f t="shared" si="0"/>
        <v>9360</v>
      </c>
      <c r="E31" s="140">
        <f t="shared" si="12"/>
        <v>177840</v>
      </c>
      <c r="F31" s="141"/>
      <c r="G31" s="157">
        <f>IF(Input!$I$7="",0,IF(B31=Input!$I$7,Input!$I$6,IF(B31=Input!$I$7+12,Input!$I$6*(1+annual_incr_proptax),IF(B31=Input!$I$7+24,Input!$I$6*(1+annual_incr_proptax)^2,IF(B31=Input!$I$7+36,Input!$I$6*(1+annual_incr_proptax)^3,IF(B31=Input!$I$7+48,Input!$I$6*(1+annual_incr_proptax)^4,IF(B31=Input!$I$7+60,Input!$I$6*(1+annual_incr_proptax)^5,IF(B31=Input!$I$7+72,Input!$I$6*(1+annual_incr_proptax)^6,IF(B31=Input!$I$7+84,Input!$I$6*(1+annual_incr_proptax)^7,IF(B31=Input!$I$7+96,Input!$I$6*(1+annual_incr_proptax)^8,IF(B31=Input!$I$7+108,Input!$I$6*(1+annual_incr_proptax)^9,IF(B31=Input!$I$7+120,Input!$I$6*(1+annual_incr_proptax)^10,0))))))))))))</f>
        <v>0</v>
      </c>
      <c r="H31" s="139">
        <f>IF(Input!$I$10="",0,IF(B31=Input!$I$10,Input!$I$9,IF(B31=Input!$I$10+12,Input!$I$9*(1+annual_incr_ins),IF(B31=Input!$I$10+24,Input!$I$9*(1+annual_incr_ins)^2,IF(B31=Input!$I$10+36,Input!$I$9*(1+annual_incr_ins)^3,IF(B31=Input!$I$10+48,Input!$I$9*(1+annual_incr_ins)^4,IF(B31=Input!$I$10+60,Input!$I$9*(1+annual_incr_ins)^5,IF(B31=Input!$I$10+72,Input!$I$9*(1+annual_incr_ins)^6,IF(B31=Input!$I$10+84,Input!$I$9*(1+annual_incr_ins)^7,IF(B31=Input!$I$10+96,Input!$I$9*(1+annual_incr_ins)^8,IF(B31=Input!$I$10+108,Input!$I$9*(1+annual_incr_ins)^9,IF(B31=Input!$I$10+120,Input!$I$9*(1+annual_incr_ins)^10,0))))))))))))</f>
        <v>0</v>
      </c>
      <c r="I31" s="139">
        <f>IF(OR(Input!$I$13="",B31&lt;Input!$I$13),0,IF(AND(B31&gt;=Input!$I$13,B31&lt;Input!$I$13+12),Input!$I$12,IF(B31=Input!$I$13+12,Input!$I$12*(1+annual_incr_util),IF(B31=Input!$I$13+24,Input!$I$12*(1+annual_incr_util)^2,IF(B31=Input!$I$13+36,Input!$I$12*(1+annual_incr_util)^3,IF(B31=Input!$I$13+48,Input!$I$12*(1+annual_incr_util)^4,IF(B31=Input!$I$13+60,Input!$I$12*(1+annual_incr_util)^5,IF(B31=Input!$I$13+72,Input!$I$12*(1+annual_incr_util)^6,IF(B31=Input!$I$13+84,Input!$I$12*(1+annual_incr_util)^7,IF(B31=Input!$I$13+96,Input!$I$12*(1+annual_incr_util)^8,IF(B31=Input!$I$13+108,Input!$I$12*(1+annual_incr_util)^9,IF(B31=Input!$I$13+120,Input!$I$12*(1+annual_incr_util)^10,I30))))))))))))</f>
        <v>464.625</v>
      </c>
      <c r="J31" s="139">
        <f>IF(Input!$I$16="",0,IF(B31=Input!$I$16,Input!$I$15,IF(B31=Input!$I$16+12,Input!$I$15*(1+annual_incr_advtg),IF(B31=Input!$I$16+24,Input!$I$15*(1+annual_incr_advtg)^2,IF(B31=Input!$I$16+36,Input!$I$15*(1+annual_incr_advtg)^3,IF(B31=Input!$I$16+48,Input!$I$15*(1+annual_incr_advtg)^4,IF(B31=Input!$I$16+60,Input!$I$15*(1+annual_incr_advtg)^5,IF(B31=Input!$I$16+72,Input!$I$15*(1+annual_incr_advtg)^6,IF(B31=Input!$I$16+84,Input!$I$15*(1+annual_incr_advtg)^7,IF(B31=Input!$I$16+96,Input!$I$15*(1+annual_incr_advtg)^8,IF(B31=Input!$I$16+108,Input!$I$15*(1+annual_incr_advtg)^9,IF(B31=Input!$I$16+120,Input!$I$15*(1+annual_incr_advtg)^10,0))))))))))))</f>
        <v>0</v>
      </c>
      <c r="K31" s="139">
        <f>IF(Input!$I$19="",0,IF(B31=Input!$I$19,Input!$I$18,IF(B31=Input!$I$19+12,Input!$I$18*(1+annual_incr_other1),IF(B31=Input!$I$19+24,Input!$I$18*(1+annual_incr_other1)^2,IF(B31=Input!$I$19+36,Input!$I$18*(1+annual_incr_other1)^3,IF(B31=Input!$I$19+48,Input!$I$18*(1+annual_incr_other1)^4,IF(B31=Input!$I$19+60,Input!$I$18*(1+annual_incr_other1)^5,IF(B31=Input!$I$19+72,Input!$I$18*(1+annual_incr_other1)^6,IF(B31=Input!$I$19+84,Input!$I$18*(1+annual_incr_other1)^7,IF(B31=Input!$I$19+96,Input!$I$18*(1+annual_incr_other1)^8,IF(B31=Input!$I$19+108,Input!$I$18*(1+annual_incr_other1)^9,IF(B31=Input!$I$19+120,Input!$I$18*(1+annual_incr_other1)^10,0))))))))))))</f>
        <v>0</v>
      </c>
      <c r="L31" s="156">
        <f>IF(OR(Input!$I$22="",B31&lt;Input!$I$22),0,IF(AND(B31&gt;=Input!$I$22,B31&lt;Input!$I$22+12),Input!$I$21,IF(B31=Input!$I$22+12,Input!$I$21*(1+annual_incr_other2),IF(B31=Input!$I$22+24,Input!$I$21*(1+annual_incr_other2)^2,IF(B31=Input!$I$22+36,Input!$I$21*(1+annual_incr_other2)^3,IF(B31=Input!$I$22+48,Input!$I$21*(1+annual_incr_other2)^4,IF(B31=Input!$I$22+60,Input!$I$21*(1+annual_incr_other2)^5,IF(B31=Input!$I$22+72,Input!$I$21*(1+annual_incr_other2)^6,IF(B31=Input!$I$22+84,Input!$I$21*(1+annual_incr_other2)^7,IF(B31=Input!$I$22+96,Input!$I$21*(1+annual_incr_other2)^8,IF(B31=Input!$I$22+108,Input!$I$21*(1+annual_incr_other2)^9,IF(B31=Input!$I$22+120,Input!$I$21*(1+annual_incr_other2)^10,L30))))))))))))</f>
        <v>577.84375</v>
      </c>
      <c r="M31" s="139">
        <f>IF(OR(Input!$I$27="",B31&lt;Input!$I$27),0,E31*mgmt_fee)</f>
        <v>1600.56</v>
      </c>
      <c r="N31" s="139">
        <f>IF(OR(Input!$I$29="",B31&lt;Input!$I$29),0,E31*repairs_maint)</f>
        <v>1956.2399999999998</v>
      </c>
      <c r="O31" s="149">
        <f>IF(Input!$I$31="",0,IF(OR(B31=Input!$I$31,B31=Input!$I$31+12,B31=Input!$I$31+24,B31=Input!$I$31+36,B31=Input!$I$31+48,B31=Input!$I$31+60,B31=Input!$I$31+72,B31=Input!$I$31+84,B31=Input!$I$31+96,B31=Input!$I$31+108,B31=Input!$I$31+120),E31*other_3,0))</f>
        <v>0</v>
      </c>
      <c r="P31" s="158">
        <f t="shared" si="13"/>
        <v>4599.2687499999993</v>
      </c>
      <c r="Q31" s="159">
        <f t="shared" si="14"/>
        <v>173240.73125000001</v>
      </c>
      <c r="R31" s="160"/>
      <c r="S31" s="161">
        <f>IF(AND(leveraged_property,B31&lt;=amort_period),-IPMT(interest_rate/12,B31,amort_period,loan_amount),0)</f>
        <v>42228.87246571431</v>
      </c>
      <c r="T31" s="149">
        <f t="shared" si="15"/>
        <v>11711.082662250919</v>
      </c>
      <c r="U31" s="149">
        <f>IF(AND(leveraged_property,B31&lt;=amort_period),-PMT(interest_rate/12,amort_period,loan_amount),0)</f>
        <v>53939.95512796523</v>
      </c>
      <c r="V31" s="149">
        <f t="shared" si="16"/>
        <v>9201861.0916754175</v>
      </c>
      <c r="W31" s="160"/>
      <c r="X31" s="149">
        <f t="shared" si="17"/>
        <v>95090.625</v>
      </c>
      <c r="Y31" s="162">
        <f t="shared" si="18"/>
        <v>22182741</v>
      </c>
      <c r="Z31" s="156">
        <f t="shared" si="1"/>
        <v>23926809.535304997</v>
      </c>
      <c r="AA31" s="163">
        <f t="shared" ca="1" si="2"/>
        <v>23926809.535304997</v>
      </c>
      <c r="AB31" s="160"/>
      <c r="AC31" s="164">
        <f>Input!$C$25/12</f>
        <v>26538.461538461535</v>
      </c>
      <c r="AD31" s="139">
        <f t="shared" si="3"/>
        <v>104473.39724582416</v>
      </c>
      <c r="AE31" s="149">
        <f t="shared" si="4"/>
        <v>31342.019173747249</v>
      </c>
      <c r="AF31" s="139">
        <f ca="1">IF(AA31=0,0,AA31-(total_initial_cost-SUM($AC$5:AC31)))</f>
        <v>3943347.9968434572</v>
      </c>
      <c r="AG31" s="139">
        <f t="shared" ca="1" si="5"/>
        <v>788669.59936869144</v>
      </c>
      <c r="AH31" s="149">
        <f t="shared" ca="1" si="19"/>
        <v>23138139.935936306</v>
      </c>
      <c r="AI31" s="103"/>
      <c r="AJ31" s="165">
        <f t="shared" ca="1" si="6"/>
        <v>2438139.9359363057</v>
      </c>
      <c r="AK31" s="165">
        <f t="shared" ca="1" si="22"/>
        <v>3415049.1088973535</v>
      </c>
      <c r="AL31" s="300">
        <f t="shared" ca="1" si="23"/>
        <v>0.30491509900869229</v>
      </c>
      <c r="AM31" s="300">
        <f t="shared" si="24"/>
        <v>0.10018226609057296</v>
      </c>
      <c r="AN31" s="300">
        <f t="shared" si="25"/>
        <v>8.5474436799516898E-2</v>
      </c>
      <c r="AO31" s="301">
        <f>IF(leveraged_property,SUM(Q20:Q31)/SUM(U20:U31),"N/A")</f>
        <v>2.7334728612468657</v>
      </c>
      <c r="AP31" s="103"/>
      <c r="AQ31" s="149">
        <f t="shared" si="20"/>
        <v>119300.77612203479</v>
      </c>
      <c r="AR31" s="149">
        <f t="shared" ca="1" si="7"/>
        <v>14844249.219751613</v>
      </c>
      <c r="AS31" s="288">
        <f ca="1">IF(down_payment&lt;=0,"N/A",IRR(($AQ$4:AQ30,AR31),))</f>
        <v>1.7180748743178979E-2</v>
      </c>
      <c r="AT31" s="290">
        <f t="shared" ca="1" si="8"/>
        <v>0.22681078432177881</v>
      </c>
      <c r="AU31" s="288">
        <f ca="1">IF(down_payment&lt;=0,"N/A",MIRR(($AQ$4:AQ30,AR31),finance_rate,reinvestment_rate))</f>
        <v>1.6995926112988169E-2</v>
      </c>
      <c r="AV31" s="290">
        <f t="shared" ca="1" si="9"/>
        <v>0.2241385048402551</v>
      </c>
      <c r="AW31" s="103"/>
      <c r="AX31" s="152">
        <f t="shared" si="10"/>
        <v>87958.756948287541</v>
      </c>
      <c r="AY31" s="296" t="str">
        <f>IF(AND(B31=$BA$4,OR(down_payment&lt;=0,purchase_date="")),"N/A",IF(B31=$BA$4,XIRR(AX$4:AX31,A$4:A31),""))</f>
        <v/>
      </c>
      <c r="BA31" s="178"/>
    </row>
    <row r="32" spans="1:53">
      <c r="A32" s="137">
        <f t="shared" si="21"/>
        <v>41014</v>
      </c>
      <c r="B32" s="138">
        <f t="shared" si="11"/>
        <v>28</v>
      </c>
      <c r="C32" s="139">
        <f>C31+(C31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2" s="139">
        <f t="shared" si="0"/>
        <v>9360</v>
      </c>
      <c r="E32" s="140">
        <f t="shared" si="12"/>
        <v>177840</v>
      </c>
      <c r="F32" s="141"/>
      <c r="G32" s="157">
        <f>IF(Input!$I$7="",0,IF(B32=Input!$I$7,Input!$I$6,IF(B32=Input!$I$7+12,Input!$I$6*(1+annual_incr_proptax),IF(B32=Input!$I$7+24,Input!$I$6*(1+annual_incr_proptax)^2,IF(B32=Input!$I$7+36,Input!$I$6*(1+annual_incr_proptax)^3,IF(B32=Input!$I$7+48,Input!$I$6*(1+annual_incr_proptax)^4,IF(B32=Input!$I$7+60,Input!$I$6*(1+annual_incr_proptax)^5,IF(B32=Input!$I$7+72,Input!$I$6*(1+annual_incr_proptax)^6,IF(B32=Input!$I$7+84,Input!$I$6*(1+annual_incr_proptax)^7,IF(B32=Input!$I$7+96,Input!$I$6*(1+annual_incr_proptax)^8,IF(B32=Input!$I$7+108,Input!$I$6*(1+annual_incr_proptax)^9,IF(B32=Input!$I$7+120,Input!$I$6*(1+annual_incr_proptax)^10,0))))))))))))</f>
        <v>0</v>
      </c>
      <c r="H32" s="139">
        <f>IF(Input!$I$10="",0,IF(B32=Input!$I$10,Input!$I$9,IF(B32=Input!$I$10+12,Input!$I$9*(1+annual_incr_ins),IF(B32=Input!$I$10+24,Input!$I$9*(1+annual_incr_ins)^2,IF(B32=Input!$I$10+36,Input!$I$9*(1+annual_incr_ins)^3,IF(B32=Input!$I$10+48,Input!$I$9*(1+annual_incr_ins)^4,IF(B32=Input!$I$10+60,Input!$I$9*(1+annual_incr_ins)^5,IF(B32=Input!$I$10+72,Input!$I$9*(1+annual_incr_ins)^6,IF(B32=Input!$I$10+84,Input!$I$9*(1+annual_incr_ins)^7,IF(B32=Input!$I$10+96,Input!$I$9*(1+annual_incr_ins)^8,IF(B32=Input!$I$10+108,Input!$I$9*(1+annual_incr_ins)^9,IF(B32=Input!$I$10+120,Input!$I$9*(1+annual_incr_ins)^10,0))))))))))))</f>
        <v>0</v>
      </c>
      <c r="I32" s="139">
        <f>IF(OR(Input!$I$13="",B32&lt;Input!$I$13),0,IF(AND(B32&gt;=Input!$I$13,B32&lt;Input!$I$13+12),Input!$I$12,IF(B32=Input!$I$13+12,Input!$I$12*(1+annual_incr_util),IF(B32=Input!$I$13+24,Input!$I$12*(1+annual_incr_util)^2,IF(B32=Input!$I$13+36,Input!$I$12*(1+annual_incr_util)^3,IF(B32=Input!$I$13+48,Input!$I$12*(1+annual_incr_util)^4,IF(B32=Input!$I$13+60,Input!$I$12*(1+annual_incr_util)^5,IF(B32=Input!$I$13+72,Input!$I$12*(1+annual_incr_util)^6,IF(B32=Input!$I$13+84,Input!$I$12*(1+annual_incr_util)^7,IF(B32=Input!$I$13+96,Input!$I$12*(1+annual_incr_util)^8,IF(B32=Input!$I$13+108,Input!$I$12*(1+annual_incr_util)^9,IF(B32=Input!$I$13+120,Input!$I$12*(1+annual_incr_util)^10,I31))))))))))))</f>
        <v>479.72531249999997</v>
      </c>
      <c r="J32" s="139">
        <f>IF(Input!$I$16="",0,IF(B32=Input!$I$16,Input!$I$15,IF(B32=Input!$I$16+12,Input!$I$15*(1+annual_incr_advtg),IF(B32=Input!$I$16+24,Input!$I$15*(1+annual_incr_advtg)^2,IF(B32=Input!$I$16+36,Input!$I$15*(1+annual_incr_advtg)^3,IF(B32=Input!$I$16+48,Input!$I$15*(1+annual_incr_advtg)^4,IF(B32=Input!$I$16+60,Input!$I$15*(1+annual_incr_advtg)^5,IF(B32=Input!$I$16+72,Input!$I$15*(1+annual_incr_advtg)^6,IF(B32=Input!$I$16+84,Input!$I$15*(1+annual_incr_advtg)^7,IF(B32=Input!$I$16+96,Input!$I$15*(1+annual_incr_advtg)^8,IF(B32=Input!$I$16+108,Input!$I$15*(1+annual_incr_advtg)^9,IF(B32=Input!$I$16+120,Input!$I$15*(1+annual_incr_advtg)^10,0))))))))))))</f>
        <v>0</v>
      </c>
      <c r="K32" s="139">
        <f>IF(Input!$I$19="",0,IF(B32=Input!$I$19,Input!$I$18,IF(B32=Input!$I$19+12,Input!$I$18*(1+annual_incr_other1),IF(B32=Input!$I$19+24,Input!$I$18*(1+annual_incr_other1)^2,IF(B32=Input!$I$19+36,Input!$I$18*(1+annual_incr_other1)^3,IF(B32=Input!$I$19+48,Input!$I$18*(1+annual_incr_other1)^4,IF(B32=Input!$I$19+60,Input!$I$18*(1+annual_incr_other1)^5,IF(B32=Input!$I$19+72,Input!$I$18*(1+annual_incr_other1)^6,IF(B32=Input!$I$19+84,Input!$I$18*(1+annual_incr_other1)^7,IF(B32=Input!$I$19+96,Input!$I$18*(1+annual_incr_other1)^8,IF(B32=Input!$I$19+108,Input!$I$18*(1+annual_incr_other1)^9,IF(B32=Input!$I$19+120,Input!$I$18*(1+annual_incr_other1)^10,0))))))))))))</f>
        <v>0</v>
      </c>
      <c r="L32" s="156">
        <f>IF(OR(Input!$I$22="",B32&lt;Input!$I$22),0,IF(AND(B32&gt;=Input!$I$22,B32&lt;Input!$I$22+12),Input!$I$21,IF(B32=Input!$I$22+12,Input!$I$21*(1+annual_incr_other2),IF(B32=Input!$I$22+24,Input!$I$21*(1+annual_incr_other2)^2,IF(B32=Input!$I$22+36,Input!$I$21*(1+annual_incr_other2)^3,IF(B32=Input!$I$22+48,Input!$I$21*(1+annual_incr_other2)^4,IF(B32=Input!$I$22+60,Input!$I$21*(1+annual_incr_other2)^5,IF(B32=Input!$I$22+72,Input!$I$21*(1+annual_incr_other2)^6,IF(B32=Input!$I$22+84,Input!$I$21*(1+annual_incr_other2)^7,IF(B32=Input!$I$22+96,Input!$I$21*(1+annual_incr_other2)^8,IF(B32=Input!$I$22+108,Input!$I$21*(1+annual_incr_other2)^9,IF(B32=Input!$I$22+120,Input!$I$21*(1+annual_incr_other2)^10,L31))))))))))))</f>
        <v>577.84375</v>
      </c>
      <c r="M32" s="139">
        <f>IF(OR(Input!$I$27="",B32&lt;Input!$I$27),0,E32*mgmt_fee)</f>
        <v>1600.56</v>
      </c>
      <c r="N32" s="139">
        <f>IF(OR(Input!$I$29="",B32&lt;Input!$I$29),0,E32*repairs_maint)</f>
        <v>1956.2399999999998</v>
      </c>
      <c r="O32" s="149">
        <f>IF(Input!$I$31="",0,IF(OR(B32=Input!$I$31,B32=Input!$I$31+12,B32=Input!$I$31+24,B32=Input!$I$31+36,B32=Input!$I$31+48,B32=Input!$I$31+60,B32=Input!$I$31+72,B32=Input!$I$31+84,B32=Input!$I$31+96,B32=Input!$I$31+108,B32=Input!$I$31+120),E32*other_3,0))</f>
        <v>0</v>
      </c>
      <c r="P32" s="158">
        <f t="shared" si="13"/>
        <v>4614.3690624999999</v>
      </c>
      <c r="Q32" s="159">
        <f t="shared" si="14"/>
        <v>173225.63093750001</v>
      </c>
      <c r="R32" s="160"/>
      <c r="S32" s="161">
        <f>IF(AND(leveraged_property,B32&lt;=amort_period),-IPMT(interest_rate/12,B32,amort_period,loan_amount),0)</f>
        <v>42175.196670179001</v>
      </c>
      <c r="T32" s="149">
        <f t="shared" si="15"/>
        <v>11764.758457786229</v>
      </c>
      <c r="U32" s="149">
        <f>IF(AND(leveraged_property,B32&lt;=amort_period),-PMT(interest_rate/12,amort_period,loan_amount),0)</f>
        <v>53939.95512796523</v>
      </c>
      <c r="V32" s="149">
        <f t="shared" si="16"/>
        <v>9190096.333217632</v>
      </c>
      <c r="W32" s="160"/>
      <c r="X32" s="149">
        <f t="shared" si="17"/>
        <v>95090.625</v>
      </c>
      <c r="Y32" s="162">
        <f t="shared" si="18"/>
        <v>22274028</v>
      </c>
      <c r="Z32" s="156">
        <f t="shared" si="1"/>
        <v>23926449.089308124</v>
      </c>
      <c r="AA32" s="163">
        <f t="shared" ca="1" si="2"/>
        <v>23926449.089308124</v>
      </c>
      <c r="AB32" s="160"/>
      <c r="AC32" s="164">
        <f>Input!$C$25/12</f>
        <v>26538.461538461535</v>
      </c>
      <c r="AD32" s="139">
        <f t="shared" si="3"/>
        <v>104511.97272885949</v>
      </c>
      <c r="AE32" s="149">
        <f t="shared" si="4"/>
        <v>31353.591818657846</v>
      </c>
      <c r="AF32" s="139">
        <f ca="1">IF(AA32=0,0,AA32-(total_initial_cost-SUM($AC$5:AC32)))</f>
        <v>3969526.012385048</v>
      </c>
      <c r="AG32" s="139">
        <f t="shared" ca="1" si="5"/>
        <v>793905.20247700962</v>
      </c>
      <c r="AH32" s="149">
        <f t="shared" ca="1" si="19"/>
        <v>23132543.886831116</v>
      </c>
      <c r="AI32" s="103"/>
      <c r="AJ32" s="165">
        <f t="shared" ca="1" si="6"/>
        <v>2432543.8868311159</v>
      </c>
      <c r="AK32" s="165">
        <f t="shared" ca="1" si="22"/>
        <v>3427598.5969475796</v>
      </c>
      <c r="AL32" s="300">
        <f t="shared" ca="1" si="23"/>
        <v>0.30603558901317673</v>
      </c>
      <c r="AM32" s="300">
        <f t="shared" si="24"/>
        <v>0.10244065947784974</v>
      </c>
      <c r="AN32" s="300">
        <f t="shared" si="25"/>
        <v>8.6696369453502412E-2</v>
      </c>
      <c r="AO32" s="301">
        <f>IF(leveraged_property,SUM(Q21:Q32)/SUM(U21:U32),"N/A")</f>
        <v>2.772550272845085</v>
      </c>
      <c r="AP32" s="103"/>
      <c r="AQ32" s="149">
        <f t="shared" si="20"/>
        <v>119285.67580953479</v>
      </c>
      <c r="AR32" s="149">
        <f t="shared" ca="1" si="7"/>
        <v>14855638.431900028</v>
      </c>
      <c r="AS32" s="288">
        <f ca="1">IF(down_payment&lt;=0,"N/A",IRR(($AQ$4:AQ31,AR32),))</f>
        <v>1.6909458347794993E-2</v>
      </c>
      <c r="AT32" s="290">
        <f t="shared" ca="1" si="8"/>
        <v>0.22289013361638688</v>
      </c>
      <c r="AU32" s="288">
        <f ca="1">IF(down_payment&lt;=0,"N/A",MIRR(($AQ$4:AQ31,AR32),finance_rate,reinvestment_rate))</f>
        <v>1.6741337895892716E-2</v>
      </c>
      <c r="AV32" s="290">
        <f t="shared" ca="1" si="9"/>
        <v>0.22046624818232119</v>
      </c>
      <c r="AW32" s="103"/>
      <c r="AX32" s="152">
        <f t="shared" si="10"/>
        <v>87932.083990876941</v>
      </c>
      <c r="AY32" s="296" t="str">
        <f>IF(AND(B32=$BA$4,OR(down_payment&lt;=0,purchase_date="")),"N/A",IF(B32=$BA$4,XIRR(AX$4:AX32,A$4:A32),""))</f>
        <v/>
      </c>
      <c r="BA32" s="178"/>
    </row>
    <row r="33" spans="1:53">
      <c r="A33" s="137">
        <f t="shared" si="21"/>
        <v>41044</v>
      </c>
      <c r="B33" s="138">
        <f t="shared" si="11"/>
        <v>29</v>
      </c>
      <c r="C33" s="139">
        <f>C32+(C32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3" s="139">
        <f t="shared" si="0"/>
        <v>9360</v>
      </c>
      <c r="E33" s="140">
        <f t="shared" si="12"/>
        <v>177840</v>
      </c>
      <c r="F33" s="141"/>
      <c r="G33" s="157">
        <f>IF(Input!$I$7="",0,IF(B33=Input!$I$7,Input!$I$6,IF(B33=Input!$I$7+12,Input!$I$6*(1+annual_incr_proptax),IF(B33=Input!$I$7+24,Input!$I$6*(1+annual_incr_proptax)^2,IF(B33=Input!$I$7+36,Input!$I$6*(1+annual_incr_proptax)^3,IF(B33=Input!$I$7+48,Input!$I$6*(1+annual_incr_proptax)^4,IF(B33=Input!$I$7+60,Input!$I$6*(1+annual_incr_proptax)^5,IF(B33=Input!$I$7+72,Input!$I$6*(1+annual_incr_proptax)^6,IF(B33=Input!$I$7+84,Input!$I$6*(1+annual_incr_proptax)^7,IF(B33=Input!$I$7+96,Input!$I$6*(1+annual_incr_proptax)^8,IF(B33=Input!$I$7+108,Input!$I$6*(1+annual_incr_proptax)^9,IF(B33=Input!$I$7+120,Input!$I$6*(1+annual_incr_proptax)^10,0))))))))))))</f>
        <v>0</v>
      </c>
      <c r="H33" s="139">
        <f>IF(Input!$I$10="",0,IF(B33=Input!$I$10,Input!$I$9,IF(B33=Input!$I$10+12,Input!$I$9*(1+annual_incr_ins),IF(B33=Input!$I$10+24,Input!$I$9*(1+annual_incr_ins)^2,IF(B33=Input!$I$10+36,Input!$I$9*(1+annual_incr_ins)^3,IF(B33=Input!$I$10+48,Input!$I$9*(1+annual_incr_ins)^4,IF(B33=Input!$I$10+60,Input!$I$9*(1+annual_incr_ins)^5,IF(B33=Input!$I$10+72,Input!$I$9*(1+annual_incr_ins)^6,IF(B33=Input!$I$10+84,Input!$I$9*(1+annual_incr_ins)^7,IF(B33=Input!$I$10+96,Input!$I$9*(1+annual_incr_ins)^8,IF(B33=Input!$I$10+108,Input!$I$9*(1+annual_incr_ins)^9,IF(B33=Input!$I$10+120,Input!$I$9*(1+annual_incr_ins)^10,0))))))))))))</f>
        <v>0</v>
      </c>
      <c r="I33" s="139">
        <f>IF(OR(Input!$I$13="",B33&lt;Input!$I$13),0,IF(AND(B33&gt;=Input!$I$13,B33&lt;Input!$I$13+12),Input!$I$12,IF(B33=Input!$I$13+12,Input!$I$12*(1+annual_incr_util),IF(B33=Input!$I$13+24,Input!$I$12*(1+annual_incr_util)^2,IF(B33=Input!$I$13+36,Input!$I$12*(1+annual_incr_util)^3,IF(B33=Input!$I$13+48,Input!$I$12*(1+annual_incr_util)^4,IF(B33=Input!$I$13+60,Input!$I$12*(1+annual_incr_util)^5,IF(B33=Input!$I$13+72,Input!$I$12*(1+annual_incr_util)^6,IF(B33=Input!$I$13+84,Input!$I$12*(1+annual_incr_util)^7,IF(B33=Input!$I$13+96,Input!$I$12*(1+annual_incr_util)^8,IF(B33=Input!$I$13+108,Input!$I$12*(1+annual_incr_util)^9,IF(B33=Input!$I$13+120,Input!$I$12*(1+annual_incr_util)^10,I32))))))))))))</f>
        <v>479.72531249999997</v>
      </c>
      <c r="J33" s="139">
        <f>IF(Input!$I$16="",0,IF(B33=Input!$I$16,Input!$I$15,IF(B33=Input!$I$16+12,Input!$I$15*(1+annual_incr_advtg),IF(B33=Input!$I$16+24,Input!$I$15*(1+annual_incr_advtg)^2,IF(B33=Input!$I$16+36,Input!$I$15*(1+annual_incr_advtg)^3,IF(B33=Input!$I$16+48,Input!$I$15*(1+annual_incr_advtg)^4,IF(B33=Input!$I$16+60,Input!$I$15*(1+annual_incr_advtg)^5,IF(B33=Input!$I$16+72,Input!$I$15*(1+annual_incr_advtg)^6,IF(B33=Input!$I$16+84,Input!$I$15*(1+annual_incr_advtg)^7,IF(B33=Input!$I$16+96,Input!$I$15*(1+annual_incr_advtg)^8,IF(B33=Input!$I$16+108,Input!$I$15*(1+annual_incr_advtg)^9,IF(B33=Input!$I$16+120,Input!$I$15*(1+annual_incr_advtg)^10,0))))))))))))</f>
        <v>0</v>
      </c>
      <c r="K33" s="139">
        <f>IF(Input!$I$19="",0,IF(B33=Input!$I$19,Input!$I$18,IF(B33=Input!$I$19+12,Input!$I$18*(1+annual_incr_other1),IF(B33=Input!$I$19+24,Input!$I$18*(1+annual_incr_other1)^2,IF(B33=Input!$I$19+36,Input!$I$18*(1+annual_incr_other1)^3,IF(B33=Input!$I$19+48,Input!$I$18*(1+annual_incr_other1)^4,IF(B33=Input!$I$19+60,Input!$I$18*(1+annual_incr_other1)^5,IF(B33=Input!$I$19+72,Input!$I$18*(1+annual_incr_other1)^6,IF(B33=Input!$I$19+84,Input!$I$18*(1+annual_incr_other1)^7,IF(B33=Input!$I$19+96,Input!$I$18*(1+annual_incr_other1)^8,IF(B33=Input!$I$19+108,Input!$I$18*(1+annual_incr_other1)^9,IF(B33=Input!$I$19+120,Input!$I$18*(1+annual_incr_other1)^10,0))))))))))))</f>
        <v>4867.2000000000007</v>
      </c>
      <c r="L33" s="156">
        <f>IF(OR(Input!$I$22="",B33&lt;Input!$I$22),0,IF(AND(B33&gt;=Input!$I$22,B33&lt;Input!$I$22+12),Input!$I$21,IF(B33=Input!$I$22+12,Input!$I$21*(1+annual_incr_other2),IF(B33=Input!$I$22+24,Input!$I$21*(1+annual_incr_other2)^2,IF(B33=Input!$I$22+36,Input!$I$21*(1+annual_incr_other2)^3,IF(B33=Input!$I$22+48,Input!$I$21*(1+annual_incr_other2)^4,IF(B33=Input!$I$22+60,Input!$I$21*(1+annual_incr_other2)^5,IF(B33=Input!$I$22+72,Input!$I$21*(1+annual_incr_other2)^6,IF(B33=Input!$I$22+84,Input!$I$21*(1+annual_incr_other2)^7,IF(B33=Input!$I$22+96,Input!$I$21*(1+annual_incr_other2)^8,IF(B33=Input!$I$22+108,Input!$I$21*(1+annual_incr_other2)^9,IF(B33=Input!$I$22+120,Input!$I$21*(1+annual_incr_other2)^10,L32))))))))))))</f>
        <v>577.84375</v>
      </c>
      <c r="M33" s="139">
        <f>IF(OR(Input!$I$27="",B33&lt;Input!$I$27),0,E33*mgmt_fee)</f>
        <v>1600.56</v>
      </c>
      <c r="N33" s="139">
        <f>IF(OR(Input!$I$29="",B33&lt;Input!$I$29),0,E33*repairs_maint)</f>
        <v>1956.2399999999998</v>
      </c>
      <c r="O33" s="149">
        <f>IF(Input!$I$31="",0,IF(OR(B33=Input!$I$31,B33=Input!$I$31+12,B33=Input!$I$31+24,B33=Input!$I$31+36,B33=Input!$I$31+48,B33=Input!$I$31+60,B33=Input!$I$31+72,B33=Input!$I$31+84,B33=Input!$I$31+96,B33=Input!$I$31+108,B33=Input!$I$31+120),E33*other_3,0))</f>
        <v>0</v>
      </c>
      <c r="P33" s="158">
        <f t="shared" si="13"/>
        <v>9481.5690625000007</v>
      </c>
      <c r="Q33" s="159">
        <f t="shared" si="14"/>
        <v>168358.4309375</v>
      </c>
      <c r="R33" s="160"/>
      <c r="S33" s="161">
        <f>IF(AND(leveraged_property,B33&lt;=amort_period),-IPMT(interest_rate/12,B33,amort_period,loan_amount),0)</f>
        <v>42121.274860580808</v>
      </c>
      <c r="T33" s="149">
        <f t="shared" si="15"/>
        <v>11818.680267384421</v>
      </c>
      <c r="U33" s="149">
        <f>IF(AND(leveraged_property,B33&lt;=amort_period),-PMT(interest_rate/12,amort_period,loan_amount),0)</f>
        <v>53939.95512796523</v>
      </c>
      <c r="V33" s="149">
        <f t="shared" si="16"/>
        <v>9178277.6529502477</v>
      </c>
      <c r="W33" s="160"/>
      <c r="X33" s="149">
        <f t="shared" si="17"/>
        <v>95090.625</v>
      </c>
      <c r="Y33" s="162">
        <f t="shared" si="18"/>
        <v>22365315</v>
      </c>
      <c r="Z33" s="156">
        <f t="shared" si="1"/>
        <v>23923752.38731125</v>
      </c>
      <c r="AA33" s="163">
        <f t="shared" ca="1" si="2"/>
        <v>23923752.38731125</v>
      </c>
      <c r="AB33" s="160"/>
      <c r="AC33" s="164">
        <f>Input!$C$25/12</f>
        <v>26538.461538461535</v>
      </c>
      <c r="AD33" s="139">
        <f t="shared" si="3"/>
        <v>99698.694538457668</v>
      </c>
      <c r="AE33" s="149">
        <f t="shared" si="4"/>
        <v>29909.608361537299</v>
      </c>
      <c r="AF33" s="139">
        <f ca="1">IF(AA33=0,0,AA33-(total_initial_cost-SUM($AC$5:AC33)))</f>
        <v>3993367.771926634</v>
      </c>
      <c r="AG33" s="139">
        <f t="shared" ca="1" si="5"/>
        <v>798673.5543853268</v>
      </c>
      <c r="AH33" s="149">
        <f t="shared" ca="1" si="19"/>
        <v>23125078.832925923</v>
      </c>
      <c r="AI33" s="103"/>
      <c r="AJ33" s="165">
        <f t="shared" ca="1" si="6"/>
        <v>2425078.8329259232</v>
      </c>
      <c r="AK33" s="165">
        <f t="shared" ca="1" si="22"/>
        <v>3438150.0556407152</v>
      </c>
      <c r="AL33" s="300">
        <f t="shared" ca="1" si="23"/>
        <v>0.30697768353934957</v>
      </c>
      <c r="AM33" s="300">
        <f t="shared" si="24"/>
        <v>0.10468233857941224</v>
      </c>
      <c r="AN33" s="300">
        <f t="shared" si="25"/>
        <v>8.7909258629227049E-2</v>
      </c>
      <c r="AO33" s="301">
        <f>IF(leveraged_property,SUM(Q22:Q33)/SUM(U22:U33),"N/A")</f>
        <v>2.8113384739691214</v>
      </c>
      <c r="AP33" s="103"/>
      <c r="AQ33" s="149">
        <f t="shared" si="20"/>
        <v>114418.47580953478</v>
      </c>
      <c r="AR33" s="149">
        <f t="shared" ca="1" si="7"/>
        <v>14859893.210170535</v>
      </c>
      <c r="AS33" s="288">
        <f ca="1">IF(down_payment&lt;=0,"N/A",IRR(($AQ$4:AQ32,AR33),))</f>
        <v>1.664193639512767E-2</v>
      </c>
      <c r="AT33" s="290">
        <f t="shared" ca="1" si="8"/>
        <v>0.21903519435227903</v>
      </c>
      <c r="AU33" s="288">
        <f ca="1">IF(down_payment&lt;=0,"N/A",MIRR(($AQ$4:AQ32,AR33),finance_rate,reinvestment_rate))</f>
        <v>1.6491847427813733E-2</v>
      </c>
      <c r="AV33" s="290">
        <f t="shared" ca="1" si="9"/>
        <v>0.21687732258561865</v>
      </c>
      <c r="AW33" s="103"/>
      <c r="AX33" s="152">
        <f t="shared" si="10"/>
        <v>84508.867447997472</v>
      </c>
      <c r="AY33" s="296" t="str">
        <f>IF(AND(B33=$BA$4,OR(down_payment&lt;=0,purchase_date="")),"N/A",IF(B33=$BA$4,XIRR(AX$4:AX33,A$4:A33),""))</f>
        <v/>
      </c>
      <c r="BA33" s="178"/>
    </row>
    <row r="34" spans="1:53">
      <c r="A34" s="137">
        <f t="shared" si="21"/>
        <v>41075</v>
      </c>
      <c r="B34" s="138">
        <f t="shared" si="11"/>
        <v>30</v>
      </c>
      <c r="C34" s="139">
        <f>C33+(C33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4" s="139">
        <f t="shared" si="0"/>
        <v>9360</v>
      </c>
      <c r="E34" s="140">
        <f t="shared" si="12"/>
        <v>177840</v>
      </c>
      <c r="F34" s="141"/>
      <c r="G34" s="157">
        <f>IF(Input!$I$7="",0,IF(B34=Input!$I$7,Input!$I$6,IF(B34=Input!$I$7+12,Input!$I$6*(1+annual_incr_proptax),IF(B34=Input!$I$7+24,Input!$I$6*(1+annual_incr_proptax)^2,IF(B34=Input!$I$7+36,Input!$I$6*(1+annual_incr_proptax)^3,IF(B34=Input!$I$7+48,Input!$I$6*(1+annual_incr_proptax)^4,IF(B34=Input!$I$7+60,Input!$I$6*(1+annual_incr_proptax)^5,IF(B34=Input!$I$7+72,Input!$I$6*(1+annual_incr_proptax)^6,IF(B34=Input!$I$7+84,Input!$I$6*(1+annual_incr_proptax)^7,IF(B34=Input!$I$7+96,Input!$I$6*(1+annual_incr_proptax)^8,IF(B34=Input!$I$7+108,Input!$I$6*(1+annual_incr_proptax)^9,IF(B34=Input!$I$7+120,Input!$I$6*(1+annual_incr_proptax)^10,0))))))))))))</f>
        <v>0</v>
      </c>
      <c r="H34" s="139">
        <f>IF(Input!$I$10="",0,IF(B34=Input!$I$10,Input!$I$9,IF(B34=Input!$I$10+12,Input!$I$9*(1+annual_incr_ins),IF(B34=Input!$I$10+24,Input!$I$9*(1+annual_incr_ins)^2,IF(B34=Input!$I$10+36,Input!$I$9*(1+annual_incr_ins)^3,IF(B34=Input!$I$10+48,Input!$I$9*(1+annual_incr_ins)^4,IF(B34=Input!$I$10+60,Input!$I$9*(1+annual_incr_ins)^5,IF(B34=Input!$I$10+72,Input!$I$9*(1+annual_incr_ins)^6,IF(B34=Input!$I$10+84,Input!$I$9*(1+annual_incr_ins)^7,IF(B34=Input!$I$10+96,Input!$I$9*(1+annual_incr_ins)^8,IF(B34=Input!$I$10+108,Input!$I$9*(1+annual_incr_ins)^9,IF(B34=Input!$I$10+120,Input!$I$9*(1+annual_incr_ins)^10,0))))))))))))</f>
        <v>12669.075000000003</v>
      </c>
      <c r="I34" s="139">
        <f>IF(OR(Input!$I$13="",B34&lt;Input!$I$13),0,IF(AND(B34&gt;=Input!$I$13,B34&lt;Input!$I$13+12),Input!$I$12,IF(B34=Input!$I$13+12,Input!$I$12*(1+annual_incr_util),IF(B34=Input!$I$13+24,Input!$I$12*(1+annual_incr_util)^2,IF(B34=Input!$I$13+36,Input!$I$12*(1+annual_incr_util)^3,IF(B34=Input!$I$13+48,Input!$I$12*(1+annual_incr_util)^4,IF(B34=Input!$I$13+60,Input!$I$12*(1+annual_incr_util)^5,IF(B34=Input!$I$13+72,Input!$I$12*(1+annual_incr_util)^6,IF(B34=Input!$I$13+84,Input!$I$12*(1+annual_incr_util)^7,IF(B34=Input!$I$13+96,Input!$I$12*(1+annual_incr_util)^8,IF(B34=Input!$I$13+108,Input!$I$12*(1+annual_incr_util)^9,IF(B34=Input!$I$13+120,Input!$I$12*(1+annual_incr_util)^10,I33))))))))))))</f>
        <v>479.72531249999997</v>
      </c>
      <c r="J34" s="139">
        <f>IF(Input!$I$16="",0,IF(B34=Input!$I$16,Input!$I$15,IF(B34=Input!$I$16+12,Input!$I$15*(1+annual_incr_advtg),IF(B34=Input!$I$16+24,Input!$I$15*(1+annual_incr_advtg)^2,IF(B34=Input!$I$16+36,Input!$I$15*(1+annual_incr_advtg)^3,IF(B34=Input!$I$16+48,Input!$I$15*(1+annual_incr_advtg)^4,IF(B34=Input!$I$16+60,Input!$I$15*(1+annual_incr_advtg)^5,IF(B34=Input!$I$16+72,Input!$I$15*(1+annual_incr_advtg)^6,IF(B34=Input!$I$16+84,Input!$I$15*(1+annual_incr_advtg)^7,IF(B34=Input!$I$16+96,Input!$I$15*(1+annual_incr_advtg)^8,IF(B34=Input!$I$16+108,Input!$I$15*(1+annual_incr_advtg)^9,IF(B34=Input!$I$16+120,Input!$I$15*(1+annual_incr_advtg)^10,0))))))))))))</f>
        <v>0</v>
      </c>
      <c r="K34" s="139">
        <f>IF(Input!$I$19="",0,IF(B34=Input!$I$19,Input!$I$18,IF(B34=Input!$I$19+12,Input!$I$18*(1+annual_incr_other1),IF(B34=Input!$I$19+24,Input!$I$18*(1+annual_incr_other1)^2,IF(B34=Input!$I$19+36,Input!$I$18*(1+annual_incr_other1)^3,IF(B34=Input!$I$19+48,Input!$I$18*(1+annual_incr_other1)^4,IF(B34=Input!$I$19+60,Input!$I$18*(1+annual_incr_other1)^5,IF(B34=Input!$I$19+72,Input!$I$18*(1+annual_incr_other1)^6,IF(B34=Input!$I$19+84,Input!$I$18*(1+annual_incr_other1)^7,IF(B34=Input!$I$19+96,Input!$I$18*(1+annual_incr_other1)^8,IF(B34=Input!$I$19+108,Input!$I$18*(1+annual_incr_other1)^9,IF(B34=Input!$I$19+120,Input!$I$18*(1+annual_incr_other1)^10,0))))))))))))</f>
        <v>0</v>
      </c>
      <c r="L34" s="156">
        <f>IF(OR(Input!$I$22="",B34&lt;Input!$I$22),0,IF(AND(B34&gt;=Input!$I$22,B34&lt;Input!$I$22+12),Input!$I$21,IF(B34=Input!$I$22+12,Input!$I$21*(1+annual_incr_other2),IF(B34=Input!$I$22+24,Input!$I$21*(1+annual_incr_other2)^2,IF(B34=Input!$I$22+36,Input!$I$21*(1+annual_incr_other2)^3,IF(B34=Input!$I$22+48,Input!$I$21*(1+annual_incr_other2)^4,IF(B34=Input!$I$22+60,Input!$I$21*(1+annual_incr_other2)^5,IF(B34=Input!$I$22+72,Input!$I$21*(1+annual_incr_other2)^6,IF(B34=Input!$I$22+84,Input!$I$21*(1+annual_incr_other2)^7,IF(B34=Input!$I$22+96,Input!$I$21*(1+annual_incr_other2)^8,IF(B34=Input!$I$22+108,Input!$I$21*(1+annual_incr_other2)^9,IF(B34=Input!$I$22+120,Input!$I$21*(1+annual_incr_other2)^10,L33))))))))))))</f>
        <v>577.84375</v>
      </c>
      <c r="M34" s="139">
        <f>IF(OR(Input!$I$27="",B34&lt;Input!$I$27),0,E34*mgmt_fee)</f>
        <v>1600.56</v>
      </c>
      <c r="N34" s="139">
        <f>IF(OR(Input!$I$29="",B34&lt;Input!$I$29),0,E34*repairs_maint)</f>
        <v>1956.2399999999998</v>
      </c>
      <c r="O34" s="149">
        <f>IF(Input!$I$31="",0,IF(OR(B34=Input!$I$31,B34=Input!$I$31+12,B34=Input!$I$31+24,B34=Input!$I$31+36,B34=Input!$I$31+48,B34=Input!$I$31+60,B34=Input!$I$31+72,B34=Input!$I$31+84,B34=Input!$I$31+96,B34=Input!$I$31+108,B34=Input!$I$31+120),E34*other_3,0))</f>
        <v>0</v>
      </c>
      <c r="P34" s="158">
        <f t="shared" si="13"/>
        <v>17283.444062500002</v>
      </c>
      <c r="Q34" s="159">
        <f t="shared" si="14"/>
        <v>160556.5559375</v>
      </c>
      <c r="R34" s="160"/>
      <c r="S34" s="161">
        <f>IF(AND(leveraged_property,B34&lt;=amort_period),-IPMT(interest_rate/12,B34,amort_period,loan_amount),0)</f>
        <v>42067.105909355305</v>
      </c>
      <c r="T34" s="149">
        <f t="shared" si="15"/>
        <v>11872.849218609925</v>
      </c>
      <c r="U34" s="149">
        <f>IF(AND(leveraged_property,B34&lt;=amort_period),-PMT(interest_rate/12,amort_period,loan_amount),0)</f>
        <v>53939.95512796523</v>
      </c>
      <c r="V34" s="149">
        <f t="shared" si="16"/>
        <v>9166404.8037316371</v>
      </c>
      <c r="W34" s="160"/>
      <c r="X34" s="149">
        <f t="shared" si="17"/>
        <v>95090.625</v>
      </c>
      <c r="Y34" s="162">
        <f t="shared" si="18"/>
        <v>22456602</v>
      </c>
      <c r="Z34" s="156">
        <f t="shared" si="1"/>
        <v>23919211.146564376</v>
      </c>
      <c r="AA34" s="163">
        <f t="shared" ca="1" si="2"/>
        <v>23919211.146564376</v>
      </c>
      <c r="AB34" s="160"/>
      <c r="AC34" s="164">
        <f>Input!$C$25/12</f>
        <v>26538.461538461535</v>
      </c>
      <c r="AD34" s="139">
        <f t="shared" si="3"/>
        <v>91950.988489683165</v>
      </c>
      <c r="AE34" s="149">
        <f t="shared" si="4"/>
        <v>27585.296546904949</v>
      </c>
      <c r="AF34" s="139">
        <f ca="1">IF(AA34=0,0,AA34-(total_initial_cost-SUM($AC$5:AC34)))</f>
        <v>4015364.9927182235</v>
      </c>
      <c r="AG34" s="139">
        <f t="shared" ca="1" si="5"/>
        <v>803072.99854364479</v>
      </c>
      <c r="AH34" s="149">
        <f t="shared" ca="1" si="19"/>
        <v>23116138.148020729</v>
      </c>
      <c r="AI34" s="103"/>
      <c r="AJ34" s="165">
        <f t="shared" ca="1" si="6"/>
        <v>2416138.1480207294</v>
      </c>
      <c r="AK34" s="165">
        <f t="shared" ca="1" si="22"/>
        <v>3447121.5955142095</v>
      </c>
      <c r="AL34" s="300">
        <f t="shared" ca="1" si="23"/>
        <v>0.30777871388519729</v>
      </c>
      <c r="AM34" s="300">
        <f t="shared" si="24"/>
        <v>0.10691045741311758</v>
      </c>
      <c r="AN34" s="300">
        <f t="shared" si="25"/>
        <v>8.911481084842994E-2</v>
      </c>
      <c r="AO34" s="301">
        <f>IF(leveraged_property,SUM(Q23:Q34)/SUM(U23:U34),"N/A")</f>
        <v>2.849892039191626</v>
      </c>
      <c r="AP34" s="103"/>
      <c r="AQ34" s="149">
        <f t="shared" si="20"/>
        <v>106616.60080953478</v>
      </c>
      <c r="AR34" s="149">
        <f t="shared" ca="1" si="7"/>
        <v>14859422.943642272</v>
      </c>
      <c r="AS34" s="288">
        <f ca="1">IF(down_payment&lt;=0,"N/A",IRR(($AQ$4:AQ33,AR34),))</f>
        <v>1.6372833028291161E-2</v>
      </c>
      <c r="AT34" s="290">
        <f t="shared" ca="1" si="8"/>
        <v>0.21516870841085334</v>
      </c>
      <c r="AU34" s="288">
        <f ca="1">IF(down_payment&lt;=0,"N/A",MIRR(($AQ$4:AQ33,AR34),finance_rate,reinvestment_rate))</f>
        <v>1.6242635022420515E-2</v>
      </c>
      <c r="AV34" s="290">
        <f t="shared" ca="1" si="9"/>
        <v>0.21330205732521668</v>
      </c>
      <c r="AW34" s="103"/>
      <c r="AX34" s="152">
        <f t="shared" si="10"/>
        <v>79031.304262629827</v>
      </c>
      <c r="AY34" s="296" t="str">
        <f>IF(AND(B34=$BA$4,OR(down_payment&lt;=0,purchase_date="")),"N/A",IF(B34=$BA$4,XIRR(AX$4:AX34,A$4:A34),""))</f>
        <v/>
      </c>
      <c r="BA34" s="178"/>
    </row>
    <row r="35" spans="1:53">
      <c r="A35" s="137">
        <f t="shared" si="21"/>
        <v>41105</v>
      </c>
      <c r="B35" s="138">
        <f t="shared" si="11"/>
        <v>31</v>
      </c>
      <c r="C35" s="139">
        <f>C34+(C34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5" s="139">
        <f t="shared" si="0"/>
        <v>9360</v>
      </c>
      <c r="E35" s="140">
        <f t="shared" si="12"/>
        <v>177840</v>
      </c>
      <c r="F35" s="141"/>
      <c r="G35" s="157">
        <f>IF(Input!$I$7="",0,IF(B35=Input!$I$7,Input!$I$6,IF(B35=Input!$I$7+12,Input!$I$6*(1+annual_incr_proptax),IF(B35=Input!$I$7+24,Input!$I$6*(1+annual_incr_proptax)^2,IF(B35=Input!$I$7+36,Input!$I$6*(1+annual_incr_proptax)^3,IF(B35=Input!$I$7+48,Input!$I$6*(1+annual_incr_proptax)^4,IF(B35=Input!$I$7+60,Input!$I$6*(1+annual_incr_proptax)^5,IF(B35=Input!$I$7+72,Input!$I$6*(1+annual_incr_proptax)^6,IF(B35=Input!$I$7+84,Input!$I$6*(1+annual_incr_proptax)^7,IF(B35=Input!$I$7+96,Input!$I$6*(1+annual_incr_proptax)^8,IF(B35=Input!$I$7+108,Input!$I$6*(1+annual_incr_proptax)^9,IF(B35=Input!$I$7+120,Input!$I$6*(1+annual_incr_proptax)^10,0))))))))))))</f>
        <v>0</v>
      </c>
      <c r="H35" s="139">
        <f>IF(Input!$I$10="",0,IF(B35=Input!$I$10,Input!$I$9,IF(B35=Input!$I$10+12,Input!$I$9*(1+annual_incr_ins),IF(B35=Input!$I$10+24,Input!$I$9*(1+annual_incr_ins)^2,IF(B35=Input!$I$10+36,Input!$I$9*(1+annual_incr_ins)^3,IF(B35=Input!$I$10+48,Input!$I$9*(1+annual_incr_ins)^4,IF(B35=Input!$I$10+60,Input!$I$9*(1+annual_incr_ins)^5,IF(B35=Input!$I$10+72,Input!$I$9*(1+annual_incr_ins)^6,IF(B35=Input!$I$10+84,Input!$I$9*(1+annual_incr_ins)^7,IF(B35=Input!$I$10+96,Input!$I$9*(1+annual_incr_ins)^8,IF(B35=Input!$I$10+108,Input!$I$9*(1+annual_incr_ins)^9,IF(B35=Input!$I$10+120,Input!$I$9*(1+annual_incr_ins)^10,0))))))))))))</f>
        <v>0</v>
      </c>
      <c r="I35" s="139">
        <f>IF(OR(Input!$I$13="",B35&lt;Input!$I$13),0,IF(AND(B35&gt;=Input!$I$13,B35&lt;Input!$I$13+12),Input!$I$12,IF(B35=Input!$I$13+12,Input!$I$12*(1+annual_incr_util),IF(B35=Input!$I$13+24,Input!$I$12*(1+annual_incr_util)^2,IF(B35=Input!$I$13+36,Input!$I$12*(1+annual_incr_util)^3,IF(B35=Input!$I$13+48,Input!$I$12*(1+annual_incr_util)^4,IF(B35=Input!$I$13+60,Input!$I$12*(1+annual_incr_util)^5,IF(B35=Input!$I$13+72,Input!$I$12*(1+annual_incr_util)^6,IF(B35=Input!$I$13+84,Input!$I$12*(1+annual_incr_util)^7,IF(B35=Input!$I$13+96,Input!$I$12*(1+annual_incr_util)^8,IF(B35=Input!$I$13+108,Input!$I$12*(1+annual_incr_util)^9,IF(B35=Input!$I$13+120,Input!$I$12*(1+annual_incr_util)^10,I34))))))))))))</f>
        <v>479.72531249999997</v>
      </c>
      <c r="J35" s="139">
        <f>IF(Input!$I$16="",0,IF(B35=Input!$I$16,Input!$I$15,IF(B35=Input!$I$16+12,Input!$I$15*(1+annual_incr_advtg),IF(B35=Input!$I$16+24,Input!$I$15*(1+annual_incr_advtg)^2,IF(B35=Input!$I$16+36,Input!$I$15*(1+annual_incr_advtg)^3,IF(B35=Input!$I$16+48,Input!$I$15*(1+annual_incr_advtg)^4,IF(B35=Input!$I$16+60,Input!$I$15*(1+annual_incr_advtg)^5,IF(B35=Input!$I$16+72,Input!$I$15*(1+annual_incr_advtg)^6,IF(B35=Input!$I$16+84,Input!$I$15*(1+annual_incr_advtg)^7,IF(B35=Input!$I$16+96,Input!$I$15*(1+annual_incr_advtg)^8,IF(B35=Input!$I$16+108,Input!$I$15*(1+annual_incr_advtg)^9,IF(B35=Input!$I$16+120,Input!$I$15*(1+annual_incr_advtg)^10,0))))))))))))</f>
        <v>12841.071234999999</v>
      </c>
      <c r="K35" s="139">
        <f>IF(Input!$I$19="",0,IF(B35=Input!$I$19,Input!$I$18,IF(B35=Input!$I$19+12,Input!$I$18*(1+annual_incr_other1),IF(B35=Input!$I$19+24,Input!$I$18*(1+annual_incr_other1)^2,IF(B35=Input!$I$19+36,Input!$I$18*(1+annual_incr_other1)^3,IF(B35=Input!$I$19+48,Input!$I$18*(1+annual_incr_other1)^4,IF(B35=Input!$I$19+60,Input!$I$18*(1+annual_incr_other1)^5,IF(B35=Input!$I$19+72,Input!$I$18*(1+annual_incr_other1)^6,IF(B35=Input!$I$19+84,Input!$I$18*(1+annual_incr_other1)^7,IF(B35=Input!$I$19+96,Input!$I$18*(1+annual_incr_other1)^8,IF(B35=Input!$I$19+108,Input!$I$18*(1+annual_incr_other1)^9,IF(B35=Input!$I$19+120,Input!$I$18*(1+annual_incr_other1)^10,0))))))))))))</f>
        <v>0</v>
      </c>
      <c r="L35" s="156">
        <f>IF(OR(Input!$I$22="",B35&lt;Input!$I$22),0,IF(AND(B35&gt;=Input!$I$22,B35&lt;Input!$I$22+12),Input!$I$21,IF(B35=Input!$I$22+12,Input!$I$21*(1+annual_incr_other2),IF(B35=Input!$I$22+24,Input!$I$21*(1+annual_incr_other2)^2,IF(B35=Input!$I$22+36,Input!$I$21*(1+annual_incr_other2)^3,IF(B35=Input!$I$22+48,Input!$I$21*(1+annual_incr_other2)^4,IF(B35=Input!$I$22+60,Input!$I$21*(1+annual_incr_other2)^5,IF(B35=Input!$I$22+72,Input!$I$21*(1+annual_incr_other2)^6,IF(B35=Input!$I$22+84,Input!$I$21*(1+annual_incr_other2)^7,IF(B35=Input!$I$22+96,Input!$I$21*(1+annual_incr_other2)^8,IF(B35=Input!$I$22+108,Input!$I$21*(1+annual_incr_other2)^9,IF(B35=Input!$I$22+120,Input!$I$21*(1+annual_incr_other2)^10,L34))))))))))))</f>
        <v>577.84375</v>
      </c>
      <c r="M35" s="139">
        <f>IF(OR(Input!$I$27="",B35&lt;Input!$I$27),0,E35*mgmt_fee)</f>
        <v>1600.56</v>
      </c>
      <c r="N35" s="139">
        <f>IF(OR(Input!$I$29="",B35&lt;Input!$I$29),0,E35*repairs_maint)</f>
        <v>1956.2399999999998</v>
      </c>
      <c r="O35" s="149">
        <f>IF(Input!$I$31="",0,IF(OR(B35=Input!$I$31,B35=Input!$I$31+12,B35=Input!$I$31+24,B35=Input!$I$31+36,B35=Input!$I$31+48,B35=Input!$I$31+60,B35=Input!$I$31+72,B35=Input!$I$31+84,B35=Input!$I$31+96,B35=Input!$I$31+108,B35=Input!$I$31+120),E35*other_3,0))</f>
        <v>0</v>
      </c>
      <c r="P35" s="158">
        <f t="shared" si="13"/>
        <v>17455.440297499998</v>
      </c>
      <c r="Q35" s="159">
        <f t="shared" si="14"/>
        <v>160384.5597025</v>
      </c>
      <c r="R35" s="160"/>
      <c r="S35" s="161">
        <f>IF(AND(leveraged_property,B35&lt;=amort_period),-IPMT(interest_rate/12,B35,amort_period,loan_amount),0)</f>
        <v>42012.688683769993</v>
      </c>
      <c r="T35" s="149">
        <f t="shared" si="15"/>
        <v>11927.266444195237</v>
      </c>
      <c r="U35" s="149">
        <f>IF(AND(leveraged_property,B35&lt;=amort_period),-PMT(interest_rate/12,amort_period,loan_amount),0)</f>
        <v>53939.95512796523</v>
      </c>
      <c r="V35" s="149">
        <f t="shared" si="16"/>
        <v>9154477.537287442</v>
      </c>
      <c r="W35" s="160"/>
      <c r="X35" s="149">
        <f t="shared" si="17"/>
        <v>95090.625</v>
      </c>
      <c r="Y35" s="162">
        <f t="shared" si="18"/>
        <v>22547889</v>
      </c>
      <c r="Z35" s="156">
        <f t="shared" si="1"/>
        <v>23910113.635699205</v>
      </c>
      <c r="AA35" s="163">
        <f t="shared" ca="1" si="2"/>
        <v>23910113.635699205</v>
      </c>
      <c r="AB35" s="160"/>
      <c r="AC35" s="164">
        <f>Input!$C$25/12</f>
        <v>26538.461538461535</v>
      </c>
      <c r="AD35" s="139">
        <f t="shared" si="3"/>
        <v>91833.409480268485</v>
      </c>
      <c r="AE35" s="149">
        <f t="shared" si="4"/>
        <v>27550.022844080544</v>
      </c>
      <c r="AF35" s="139">
        <f ca="1">IF(AA35=0,0,AA35-(total_initial_cost-SUM($AC$5:AC35)))</f>
        <v>4032805.9433915131</v>
      </c>
      <c r="AG35" s="139">
        <f t="shared" ca="1" si="5"/>
        <v>806561.18867830269</v>
      </c>
      <c r="AH35" s="149">
        <f t="shared" ca="1" si="19"/>
        <v>23103552.447020903</v>
      </c>
      <c r="AI35" s="103"/>
      <c r="AJ35" s="165">
        <f t="shared" ca="1" si="6"/>
        <v>2403552.4470209032</v>
      </c>
      <c r="AK35" s="165">
        <f t="shared" ca="1" si="22"/>
        <v>3452205.1908887159</v>
      </c>
      <c r="AL35" s="300">
        <f t="shared" ca="1" si="23"/>
        <v>0.30823260632934962</v>
      </c>
      <c r="AM35" s="300">
        <f t="shared" si="24"/>
        <v>0.10910733104726938</v>
      </c>
      <c r="AN35" s="300">
        <f t="shared" si="25"/>
        <v>9.0303457452415456E-2</v>
      </c>
      <c r="AO35" s="301">
        <f>IF(leveraged_property,SUM(Q24:Q35)/SUM(U24:U35),"N/A")</f>
        <v>2.8879049627658242</v>
      </c>
      <c r="AP35" s="103"/>
      <c r="AQ35" s="149">
        <f t="shared" si="20"/>
        <v>106444.60457453478</v>
      </c>
      <c r="AR35" s="149">
        <f t="shared" ca="1" si="7"/>
        <v>14862080.702986298</v>
      </c>
      <c r="AS35" s="288">
        <f ca="1">IF(down_payment&lt;=0,"N/A",IRR(($AQ$4:AQ34,AR35),))</f>
        <v>1.6112050118759762E-2</v>
      </c>
      <c r="AT35" s="290">
        <f t="shared" ca="1" si="8"/>
        <v>0.21143249980034051</v>
      </c>
      <c r="AU35" s="288">
        <f ca="1">IF(down_payment&lt;=0,"N/A",MIRR(($AQ$4:AQ34,AR35),finance_rate,reinvestment_rate))</f>
        <v>1.6002733778255118E-2</v>
      </c>
      <c r="AV35" s="290">
        <f t="shared" ca="1" si="9"/>
        <v>0.20986947096189024</v>
      </c>
      <c r="AW35" s="103"/>
      <c r="AX35" s="152">
        <f t="shared" si="10"/>
        <v>78894.581730454229</v>
      </c>
      <c r="AY35" s="296" t="str">
        <f>IF(AND(B35=$BA$4,OR(down_payment&lt;=0,purchase_date="")),"N/A",IF(B35=$BA$4,XIRR(AX$4:AX35,A$4:A35),""))</f>
        <v/>
      </c>
      <c r="BA35" s="178"/>
    </row>
    <row r="36" spans="1:53">
      <c r="A36" s="137">
        <f t="shared" si="21"/>
        <v>41136</v>
      </c>
      <c r="B36" s="138">
        <f t="shared" si="11"/>
        <v>32</v>
      </c>
      <c r="C36" s="139">
        <f>C35+(C35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6" s="139">
        <f t="shared" si="0"/>
        <v>9360</v>
      </c>
      <c r="E36" s="140">
        <f t="shared" si="12"/>
        <v>177840</v>
      </c>
      <c r="F36" s="141"/>
      <c r="G36" s="157">
        <f>IF(Input!$I$7="",0,IF(B36=Input!$I$7,Input!$I$6,IF(B36=Input!$I$7+12,Input!$I$6*(1+annual_incr_proptax),IF(B36=Input!$I$7+24,Input!$I$6*(1+annual_incr_proptax)^2,IF(B36=Input!$I$7+36,Input!$I$6*(1+annual_incr_proptax)^3,IF(B36=Input!$I$7+48,Input!$I$6*(1+annual_incr_proptax)^4,IF(B36=Input!$I$7+60,Input!$I$6*(1+annual_incr_proptax)^5,IF(B36=Input!$I$7+72,Input!$I$6*(1+annual_incr_proptax)^6,IF(B36=Input!$I$7+84,Input!$I$6*(1+annual_incr_proptax)^7,IF(B36=Input!$I$7+96,Input!$I$6*(1+annual_incr_proptax)^8,IF(B36=Input!$I$7+108,Input!$I$6*(1+annual_incr_proptax)^9,IF(B36=Input!$I$7+120,Input!$I$6*(1+annual_incr_proptax)^10,0))))))))))))</f>
        <v>0</v>
      </c>
      <c r="H36" s="139">
        <f>IF(Input!$I$10="",0,IF(B36=Input!$I$10,Input!$I$9,IF(B36=Input!$I$10+12,Input!$I$9*(1+annual_incr_ins),IF(B36=Input!$I$10+24,Input!$I$9*(1+annual_incr_ins)^2,IF(B36=Input!$I$10+36,Input!$I$9*(1+annual_incr_ins)^3,IF(B36=Input!$I$10+48,Input!$I$9*(1+annual_incr_ins)^4,IF(B36=Input!$I$10+60,Input!$I$9*(1+annual_incr_ins)^5,IF(B36=Input!$I$10+72,Input!$I$9*(1+annual_incr_ins)^6,IF(B36=Input!$I$10+84,Input!$I$9*(1+annual_incr_ins)^7,IF(B36=Input!$I$10+96,Input!$I$9*(1+annual_incr_ins)^8,IF(B36=Input!$I$10+108,Input!$I$9*(1+annual_incr_ins)^9,IF(B36=Input!$I$10+120,Input!$I$9*(1+annual_incr_ins)^10,0))))))))))))</f>
        <v>0</v>
      </c>
      <c r="I36" s="139">
        <f>IF(OR(Input!$I$13="",B36&lt;Input!$I$13),0,IF(AND(B36&gt;=Input!$I$13,B36&lt;Input!$I$13+12),Input!$I$12,IF(B36=Input!$I$13+12,Input!$I$12*(1+annual_incr_util),IF(B36=Input!$I$13+24,Input!$I$12*(1+annual_incr_util)^2,IF(B36=Input!$I$13+36,Input!$I$12*(1+annual_incr_util)^3,IF(B36=Input!$I$13+48,Input!$I$12*(1+annual_incr_util)^4,IF(B36=Input!$I$13+60,Input!$I$12*(1+annual_incr_util)^5,IF(B36=Input!$I$13+72,Input!$I$12*(1+annual_incr_util)^6,IF(B36=Input!$I$13+84,Input!$I$12*(1+annual_incr_util)^7,IF(B36=Input!$I$13+96,Input!$I$12*(1+annual_incr_util)^8,IF(B36=Input!$I$13+108,Input!$I$12*(1+annual_incr_util)^9,IF(B36=Input!$I$13+120,Input!$I$12*(1+annual_incr_util)^10,I35))))))))))))</f>
        <v>479.72531249999997</v>
      </c>
      <c r="J36" s="139">
        <f>IF(Input!$I$16="",0,IF(B36=Input!$I$16,Input!$I$15,IF(B36=Input!$I$16+12,Input!$I$15*(1+annual_incr_advtg),IF(B36=Input!$I$16+24,Input!$I$15*(1+annual_incr_advtg)^2,IF(B36=Input!$I$16+36,Input!$I$15*(1+annual_incr_advtg)^3,IF(B36=Input!$I$16+48,Input!$I$15*(1+annual_incr_advtg)^4,IF(B36=Input!$I$16+60,Input!$I$15*(1+annual_incr_advtg)^5,IF(B36=Input!$I$16+72,Input!$I$15*(1+annual_incr_advtg)^6,IF(B36=Input!$I$16+84,Input!$I$15*(1+annual_incr_advtg)^7,IF(B36=Input!$I$16+96,Input!$I$15*(1+annual_incr_advtg)^8,IF(B36=Input!$I$16+108,Input!$I$15*(1+annual_incr_advtg)^9,IF(B36=Input!$I$16+120,Input!$I$15*(1+annual_incr_advtg)^10,0))))))))))))</f>
        <v>0</v>
      </c>
      <c r="K36" s="139">
        <f>IF(Input!$I$19="",0,IF(B36=Input!$I$19,Input!$I$18,IF(B36=Input!$I$19+12,Input!$I$18*(1+annual_incr_other1),IF(B36=Input!$I$19+24,Input!$I$18*(1+annual_incr_other1)^2,IF(B36=Input!$I$19+36,Input!$I$18*(1+annual_incr_other1)^3,IF(B36=Input!$I$19+48,Input!$I$18*(1+annual_incr_other1)^4,IF(B36=Input!$I$19+60,Input!$I$18*(1+annual_incr_other1)^5,IF(B36=Input!$I$19+72,Input!$I$18*(1+annual_incr_other1)^6,IF(B36=Input!$I$19+84,Input!$I$18*(1+annual_incr_other1)^7,IF(B36=Input!$I$19+96,Input!$I$18*(1+annual_incr_other1)^8,IF(B36=Input!$I$19+108,Input!$I$18*(1+annual_incr_other1)^9,IF(B36=Input!$I$19+120,Input!$I$18*(1+annual_incr_other1)^10,0))))))))))))</f>
        <v>0</v>
      </c>
      <c r="L36" s="156">
        <f>IF(OR(Input!$I$22="",B36&lt;Input!$I$22),0,IF(AND(B36&gt;=Input!$I$22,B36&lt;Input!$I$22+12),Input!$I$21,IF(B36=Input!$I$22+12,Input!$I$21*(1+annual_incr_other2),IF(B36=Input!$I$22+24,Input!$I$21*(1+annual_incr_other2)^2,IF(B36=Input!$I$22+36,Input!$I$21*(1+annual_incr_other2)^3,IF(B36=Input!$I$22+48,Input!$I$21*(1+annual_incr_other2)^4,IF(B36=Input!$I$22+60,Input!$I$21*(1+annual_incr_other2)^5,IF(B36=Input!$I$22+72,Input!$I$21*(1+annual_incr_other2)^6,IF(B36=Input!$I$22+84,Input!$I$21*(1+annual_incr_other2)^7,IF(B36=Input!$I$22+96,Input!$I$21*(1+annual_incr_other2)^8,IF(B36=Input!$I$22+108,Input!$I$21*(1+annual_incr_other2)^9,IF(B36=Input!$I$22+120,Input!$I$21*(1+annual_incr_other2)^10,L35))))))))))))</f>
        <v>577.84375</v>
      </c>
      <c r="M36" s="139">
        <f>IF(OR(Input!$I$27="",B36&lt;Input!$I$27),0,E36*mgmt_fee)</f>
        <v>1600.56</v>
      </c>
      <c r="N36" s="139">
        <f>IF(OR(Input!$I$29="",B36&lt;Input!$I$29),0,E36*repairs_maint)</f>
        <v>1956.2399999999998</v>
      </c>
      <c r="O36" s="149">
        <f>IF(Input!$I$31="",0,IF(OR(B36=Input!$I$31,B36=Input!$I$31+12,B36=Input!$I$31+24,B36=Input!$I$31+36,B36=Input!$I$31+48,B36=Input!$I$31+60,B36=Input!$I$31+72,B36=Input!$I$31+84,B36=Input!$I$31+96,B36=Input!$I$31+108,B36=Input!$I$31+120),E36*other_3,0))</f>
        <v>0</v>
      </c>
      <c r="P36" s="158">
        <f t="shared" si="13"/>
        <v>4614.3690624999999</v>
      </c>
      <c r="Q36" s="159">
        <f t="shared" si="14"/>
        <v>173225.63093750001</v>
      </c>
      <c r="R36" s="160"/>
      <c r="S36" s="161">
        <f>IF(AND(leveraged_property,B36&lt;=amort_period),-IPMT(interest_rate/12,B36,amort_period,loan_amount),0)</f>
        <v>41958.022045900776</v>
      </c>
      <c r="T36" s="149">
        <f t="shared" si="15"/>
        <v>11981.933082064454</v>
      </c>
      <c r="U36" s="149">
        <f>IF(AND(leveraged_property,B36&lt;=amort_period),-PMT(interest_rate/12,amort_period,loan_amount),0)</f>
        <v>53939.95512796523</v>
      </c>
      <c r="V36" s="149">
        <f t="shared" si="16"/>
        <v>9142495.6042053774</v>
      </c>
      <c r="W36" s="160"/>
      <c r="X36" s="149">
        <f t="shared" si="17"/>
        <v>95090.625</v>
      </c>
      <c r="Y36" s="162">
        <f t="shared" si="18"/>
        <v>22639176</v>
      </c>
      <c r="Z36" s="156">
        <f t="shared" si="1"/>
        <v>23909753.189702336</v>
      </c>
      <c r="AA36" s="163">
        <f t="shared" ca="1" si="2"/>
        <v>23909753.189702336</v>
      </c>
      <c r="AB36" s="160"/>
      <c r="AC36" s="164">
        <f>Input!$C$25/12</f>
        <v>26538.461538461535</v>
      </c>
      <c r="AD36" s="139">
        <f t="shared" si="3"/>
        <v>104729.1473531377</v>
      </c>
      <c r="AE36" s="149">
        <f t="shared" si="4"/>
        <v>31418.744205941308</v>
      </c>
      <c r="AF36" s="139">
        <f ca="1">IF(AA36=0,0,AA36-(total_initial_cost-SUM($AC$5:AC36)))</f>
        <v>4058983.9589331038</v>
      </c>
      <c r="AG36" s="139">
        <f t="shared" ca="1" si="5"/>
        <v>811796.79178662086</v>
      </c>
      <c r="AH36" s="149">
        <f t="shared" ca="1" si="19"/>
        <v>23097956.397915713</v>
      </c>
      <c r="AI36" s="103"/>
      <c r="AJ36" s="165">
        <f t="shared" ca="1" si="6"/>
        <v>2397956.3979157135</v>
      </c>
      <c r="AK36" s="165">
        <f t="shared" ca="1" si="22"/>
        <v>3464762.7963048201</v>
      </c>
      <c r="AL36" s="300">
        <f t="shared" ca="1" si="23"/>
        <v>0.30935382109864468</v>
      </c>
      <c r="AM36" s="300">
        <f t="shared" si="24"/>
        <v>0.11136572443454616</v>
      </c>
      <c r="AN36" s="300">
        <f t="shared" si="25"/>
        <v>9.1525390106400956E-2</v>
      </c>
      <c r="AO36" s="301">
        <f>IF(leveraged_property,SUM(Q25:Q36)/SUM(U25:U36),"N/A")</f>
        <v>2.9269823743640435</v>
      </c>
      <c r="AP36" s="103"/>
      <c r="AQ36" s="149">
        <f t="shared" si="20"/>
        <v>119285.67580953479</v>
      </c>
      <c r="AR36" s="149">
        <f t="shared" ca="1" si="7"/>
        <v>14886543.261306494</v>
      </c>
      <c r="AS36" s="288">
        <f ca="1">IF(down_payment&lt;=0,"N/A",IRR(($AQ$4:AQ35,AR36),))</f>
        <v>1.5909087793648014E-2</v>
      </c>
      <c r="AT36" s="290">
        <f t="shared" ca="1" si="8"/>
        <v>0.20853197063039675</v>
      </c>
      <c r="AU36" s="288">
        <f ca="1">IF(down_payment&lt;=0,"N/A",MIRR(($AQ$4:AQ35,AR36),finance_rate,reinvestment_rate))</f>
        <v>1.5816633170268268E-2</v>
      </c>
      <c r="AV36" s="290">
        <f t="shared" ca="1" si="9"/>
        <v>0.20721281568708605</v>
      </c>
      <c r="AW36" s="103"/>
      <c r="AX36" s="152">
        <f t="shared" si="10"/>
        <v>87866.93160359349</v>
      </c>
      <c r="AY36" s="296" t="str">
        <f>IF(AND(B36=$BA$4,OR(down_payment&lt;=0,purchase_date="")),"N/A",IF(B36=$BA$4,XIRR(AX$4:AX36,A$4:A36),""))</f>
        <v/>
      </c>
      <c r="BA36" s="178"/>
    </row>
    <row r="37" spans="1:53">
      <c r="A37" s="137">
        <f t="shared" si="21"/>
        <v>41167</v>
      </c>
      <c r="B37" s="138">
        <f t="shared" si="11"/>
        <v>33</v>
      </c>
      <c r="C37" s="139">
        <f>C36+(C36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7" s="139">
        <f t="shared" ref="D37:D68" si="26">C37*vacancy_losses</f>
        <v>9360</v>
      </c>
      <c r="E37" s="140">
        <f t="shared" si="12"/>
        <v>177840</v>
      </c>
      <c r="F37" s="141"/>
      <c r="G37" s="157">
        <f>IF(Input!$I$7="",0,IF(B37=Input!$I$7,Input!$I$6,IF(B37=Input!$I$7+12,Input!$I$6*(1+annual_incr_proptax),IF(B37=Input!$I$7+24,Input!$I$6*(1+annual_incr_proptax)^2,IF(B37=Input!$I$7+36,Input!$I$6*(1+annual_incr_proptax)^3,IF(B37=Input!$I$7+48,Input!$I$6*(1+annual_incr_proptax)^4,IF(B37=Input!$I$7+60,Input!$I$6*(1+annual_incr_proptax)^5,IF(B37=Input!$I$7+72,Input!$I$6*(1+annual_incr_proptax)^6,IF(B37=Input!$I$7+84,Input!$I$6*(1+annual_incr_proptax)^7,IF(B37=Input!$I$7+96,Input!$I$6*(1+annual_incr_proptax)^8,IF(B37=Input!$I$7+108,Input!$I$6*(1+annual_incr_proptax)^9,IF(B37=Input!$I$7+120,Input!$I$6*(1+annual_incr_proptax)^10,0))))))))))))</f>
        <v>0</v>
      </c>
      <c r="H37" s="139">
        <f>IF(Input!$I$10="",0,IF(B37=Input!$I$10,Input!$I$9,IF(B37=Input!$I$10+12,Input!$I$9*(1+annual_incr_ins),IF(B37=Input!$I$10+24,Input!$I$9*(1+annual_incr_ins)^2,IF(B37=Input!$I$10+36,Input!$I$9*(1+annual_incr_ins)^3,IF(B37=Input!$I$10+48,Input!$I$9*(1+annual_incr_ins)^4,IF(B37=Input!$I$10+60,Input!$I$9*(1+annual_incr_ins)^5,IF(B37=Input!$I$10+72,Input!$I$9*(1+annual_incr_ins)^6,IF(B37=Input!$I$10+84,Input!$I$9*(1+annual_incr_ins)^7,IF(B37=Input!$I$10+96,Input!$I$9*(1+annual_incr_ins)^8,IF(B37=Input!$I$10+108,Input!$I$9*(1+annual_incr_ins)^9,IF(B37=Input!$I$10+120,Input!$I$9*(1+annual_incr_ins)^10,0))))))))))))</f>
        <v>0</v>
      </c>
      <c r="I37" s="139">
        <f>IF(OR(Input!$I$13="",B37&lt;Input!$I$13),0,IF(AND(B37&gt;=Input!$I$13,B37&lt;Input!$I$13+12),Input!$I$12,IF(B37=Input!$I$13+12,Input!$I$12*(1+annual_incr_util),IF(B37=Input!$I$13+24,Input!$I$12*(1+annual_incr_util)^2,IF(B37=Input!$I$13+36,Input!$I$12*(1+annual_incr_util)^3,IF(B37=Input!$I$13+48,Input!$I$12*(1+annual_incr_util)^4,IF(B37=Input!$I$13+60,Input!$I$12*(1+annual_incr_util)^5,IF(B37=Input!$I$13+72,Input!$I$12*(1+annual_incr_util)^6,IF(B37=Input!$I$13+84,Input!$I$12*(1+annual_incr_util)^7,IF(B37=Input!$I$13+96,Input!$I$12*(1+annual_incr_util)^8,IF(B37=Input!$I$13+108,Input!$I$12*(1+annual_incr_util)^9,IF(B37=Input!$I$13+120,Input!$I$12*(1+annual_incr_util)^10,I36))))))))))))</f>
        <v>479.72531249999997</v>
      </c>
      <c r="J37" s="139">
        <f>IF(Input!$I$16="",0,IF(B37=Input!$I$16,Input!$I$15,IF(B37=Input!$I$16+12,Input!$I$15*(1+annual_incr_advtg),IF(B37=Input!$I$16+24,Input!$I$15*(1+annual_incr_advtg)^2,IF(B37=Input!$I$16+36,Input!$I$15*(1+annual_incr_advtg)^3,IF(B37=Input!$I$16+48,Input!$I$15*(1+annual_incr_advtg)^4,IF(B37=Input!$I$16+60,Input!$I$15*(1+annual_incr_advtg)^5,IF(B37=Input!$I$16+72,Input!$I$15*(1+annual_incr_advtg)^6,IF(B37=Input!$I$16+84,Input!$I$15*(1+annual_incr_advtg)^7,IF(B37=Input!$I$16+96,Input!$I$15*(1+annual_incr_advtg)^8,IF(B37=Input!$I$16+108,Input!$I$15*(1+annual_incr_advtg)^9,IF(B37=Input!$I$16+120,Input!$I$15*(1+annual_incr_advtg)^10,0))))))))))))</f>
        <v>0</v>
      </c>
      <c r="K37" s="139">
        <f>IF(Input!$I$19="",0,IF(B37=Input!$I$19,Input!$I$18,IF(B37=Input!$I$19+12,Input!$I$18*(1+annual_incr_other1),IF(B37=Input!$I$19+24,Input!$I$18*(1+annual_incr_other1)^2,IF(B37=Input!$I$19+36,Input!$I$18*(1+annual_incr_other1)^3,IF(B37=Input!$I$19+48,Input!$I$18*(1+annual_incr_other1)^4,IF(B37=Input!$I$19+60,Input!$I$18*(1+annual_incr_other1)^5,IF(B37=Input!$I$19+72,Input!$I$18*(1+annual_incr_other1)^6,IF(B37=Input!$I$19+84,Input!$I$18*(1+annual_incr_other1)^7,IF(B37=Input!$I$19+96,Input!$I$18*(1+annual_incr_other1)^8,IF(B37=Input!$I$19+108,Input!$I$18*(1+annual_incr_other1)^9,IF(B37=Input!$I$19+120,Input!$I$18*(1+annual_incr_other1)^10,0))))))))))))</f>
        <v>0</v>
      </c>
      <c r="L37" s="156">
        <f>IF(OR(Input!$I$22="",B37&lt;Input!$I$22),0,IF(AND(B37&gt;=Input!$I$22,B37&lt;Input!$I$22+12),Input!$I$21,IF(B37=Input!$I$22+12,Input!$I$21*(1+annual_incr_other2),IF(B37=Input!$I$22+24,Input!$I$21*(1+annual_incr_other2)^2,IF(B37=Input!$I$22+36,Input!$I$21*(1+annual_incr_other2)^3,IF(B37=Input!$I$22+48,Input!$I$21*(1+annual_incr_other2)^4,IF(B37=Input!$I$22+60,Input!$I$21*(1+annual_incr_other2)^5,IF(B37=Input!$I$22+72,Input!$I$21*(1+annual_incr_other2)^6,IF(B37=Input!$I$22+84,Input!$I$21*(1+annual_incr_other2)^7,IF(B37=Input!$I$22+96,Input!$I$21*(1+annual_incr_other2)^8,IF(B37=Input!$I$22+108,Input!$I$21*(1+annual_incr_other2)^9,IF(B37=Input!$I$22+120,Input!$I$21*(1+annual_incr_other2)^10,L36))))))))))))</f>
        <v>577.84375</v>
      </c>
      <c r="M37" s="139">
        <f>IF(OR(Input!$I$27="",B37&lt;Input!$I$27),0,E37*mgmt_fee)</f>
        <v>1600.56</v>
      </c>
      <c r="N37" s="139">
        <f>IF(OR(Input!$I$29="",B37&lt;Input!$I$29),0,E37*repairs_maint)</f>
        <v>1956.2399999999998</v>
      </c>
      <c r="O37" s="149">
        <f>IF(Input!$I$31="",0,IF(OR(B37=Input!$I$31,B37=Input!$I$31+12,B37=Input!$I$31+24,B37=Input!$I$31+36,B37=Input!$I$31+48,B37=Input!$I$31+60,B37=Input!$I$31+72,B37=Input!$I$31+84,B37=Input!$I$31+96,B37=Input!$I$31+108,B37=Input!$I$31+120),E37*other_3,0))</f>
        <v>0</v>
      </c>
      <c r="P37" s="158">
        <f t="shared" si="13"/>
        <v>4614.3690624999999</v>
      </c>
      <c r="Q37" s="159">
        <f t="shared" si="14"/>
        <v>173225.63093750001</v>
      </c>
      <c r="R37" s="160"/>
      <c r="S37" s="161">
        <f>IF(AND(leveraged_property,B37&lt;=amort_period),-IPMT(interest_rate/12,B37,amort_period,loan_amount),0)</f>
        <v>41903.104852607983</v>
      </c>
      <c r="T37" s="149">
        <f t="shared" si="15"/>
        <v>12036.850275357247</v>
      </c>
      <c r="U37" s="149">
        <f>IF(AND(leveraged_property,B37&lt;=amort_period),-PMT(interest_rate/12,amort_period,loan_amount),0)</f>
        <v>53939.95512796523</v>
      </c>
      <c r="V37" s="149">
        <f t="shared" si="16"/>
        <v>9130458.7539300211</v>
      </c>
      <c r="W37" s="160"/>
      <c r="X37" s="149">
        <f t="shared" si="17"/>
        <v>95090.625</v>
      </c>
      <c r="Y37" s="162">
        <f t="shared" si="18"/>
        <v>22730463</v>
      </c>
      <c r="Z37" s="156">
        <f t="shared" ref="Z37:Z68" si="27">(SUM(Q38:Q49)/cap_rate)*(1-cost_of_sale)</f>
        <v>23909392.743705451</v>
      </c>
      <c r="AA37" s="163">
        <f t="shared" ref="AA37:AA68" ca="1" si="28">OFFSET(X37,0,option_termvalue,1,1)</f>
        <v>23909392.743705451</v>
      </c>
      <c r="AB37" s="160"/>
      <c r="AC37" s="164">
        <f>Input!$C$25/12</f>
        <v>26538.461538461535</v>
      </c>
      <c r="AD37" s="139">
        <f t="shared" ref="AD37:AD68" si="29">SUM(Q37,-S37,-AC37)</f>
        <v>104784.06454643051</v>
      </c>
      <c r="AE37" s="149">
        <f t="shared" ref="AE37:AE68" si="30">AD37*income_tax</f>
        <v>31435.219363929151</v>
      </c>
      <c r="AF37" s="139">
        <f ca="1">IF(AA37=0,0,AA37-(total_initial_cost-SUM($AC$5:AC37)))</f>
        <v>4085161.9744746834</v>
      </c>
      <c r="AG37" s="139">
        <f t="shared" ref="AG37:AG68" ca="1" si="31">AF37*capital_gains_tax</f>
        <v>817032.3948949367</v>
      </c>
      <c r="AH37" s="149">
        <f t="shared" ca="1" si="19"/>
        <v>23092360.348810516</v>
      </c>
      <c r="AI37" s="103"/>
      <c r="AJ37" s="165">
        <f t="shared" ref="AJ37:AJ68" ca="1" si="32">IF(AH37=0,0,AH37-total_initial_cost)</f>
        <v>2392360.3488105163</v>
      </c>
      <c r="AK37" s="165">
        <f t="shared" ca="1" si="22"/>
        <v>3477322.4543684237</v>
      </c>
      <c r="AL37" s="300">
        <f t="shared" ca="1" si="23"/>
        <v>0.31047521914003784</v>
      </c>
      <c r="AM37" s="300">
        <f t="shared" si="24"/>
        <v>0.11362411782182294</v>
      </c>
      <c r="AN37" s="300">
        <f t="shared" si="25"/>
        <v>9.2747322760386455E-2</v>
      </c>
      <c r="AO37" s="301">
        <f>IF(leveraged_property,SUM(Q26:Q37)/SUM(U26:U37),"N/A")</f>
        <v>2.9660597859622633</v>
      </c>
      <c r="AP37" s="103"/>
      <c r="AQ37" s="149">
        <f t="shared" si="20"/>
        <v>119285.67580953479</v>
      </c>
      <c r="AR37" s="149">
        <f t="shared" ref="AR37:AR68" ca="1" si="33">SUM(AQ37,AA37,-V37)</f>
        <v>14898219.665584967</v>
      </c>
      <c r="AS37" s="288">
        <f ca="1">IF(down_payment&lt;=0,"N/A",IRR(($AQ$4:AQ36,AR37),))</f>
        <v>1.5718700176325963E-2</v>
      </c>
      <c r="AT37" s="290">
        <f t="shared" ref="AT37:AT68" ca="1" si="34">IF(down_payment&lt;=0,"N/A",((1+AS37)^12)-1)</f>
        <v>0.20581693426973913</v>
      </c>
      <c r="AU37" s="288">
        <f ca="1">IF(down_payment&lt;=0,"N/A",MIRR(($AQ$4:AQ36,AR37),finance_rate,reinvestment_rate))</f>
        <v>1.5643144308185253E-2</v>
      </c>
      <c r="AV37" s="290">
        <f t="shared" ref="AV37:AV68" ca="1" si="35">IF(down_payment&lt;=0,"N/A",((1+AU37)^12)-1)</f>
        <v>0.20474101495753283</v>
      </c>
      <c r="AW37" s="103"/>
      <c r="AX37" s="152">
        <f t="shared" ref="AX37:AX68" si="36">IF(B37&lt;$BA$4,SUM(Q37,-U37,-AE37),IF(B37=$BA$4,SUM(Q37,-U37,-AE37,AH37,-V37),""))</f>
        <v>87850.45644560564</v>
      </c>
      <c r="AY37" s="296" t="str">
        <f>IF(AND(B37=$BA$4,OR(down_payment&lt;=0,purchase_date="")),"N/A",IF(B37=$BA$4,XIRR(AX$4:AX37,A$4:A37),""))</f>
        <v/>
      </c>
      <c r="BA37" s="178"/>
    </row>
    <row r="38" spans="1:53">
      <c r="A38" s="137">
        <f t="shared" si="21"/>
        <v>41197</v>
      </c>
      <c r="B38" s="138">
        <f t="shared" si="11"/>
        <v>34</v>
      </c>
      <c r="C38" s="139">
        <f>C37+(C37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8" s="139">
        <f t="shared" si="26"/>
        <v>9360</v>
      </c>
      <c r="E38" s="140">
        <f t="shared" si="12"/>
        <v>177840</v>
      </c>
      <c r="F38" s="141"/>
      <c r="G38" s="157">
        <f>IF(Input!$I$7="",0,IF(B38=Input!$I$7,Input!$I$6,IF(B38=Input!$I$7+12,Input!$I$6*(1+annual_incr_proptax),IF(B38=Input!$I$7+24,Input!$I$6*(1+annual_incr_proptax)^2,IF(B38=Input!$I$7+36,Input!$I$6*(1+annual_incr_proptax)^3,IF(B38=Input!$I$7+48,Input!$I$6*(1+annual_incr_proptax)^4,IF(B38=Input!$I$7+60,Input!$I$6*(1+annual_incr_proptax)^5,IF(B38=Input!$I$7+72,Input!$I$6*(1+annual_incr_proptax)^6,IF(B38=Input!$I$7+84,Input!$I$6*(1+annual_incr_proptax)^7,IF(B38=Input!$I$7+96,Input!$I$6*(1+annual_incr_proptax)^8,IF(B38=Input!$I$7+108,Input!$I$6*(1+annual_incr_proptax)^9,IF(B38=Input!$I$7+120,Input!$I$6*(1+annual_incr_proptax)^10,0))))))))))))</f>
        <v>0</v>
      </c>
      <c r="H38" s="139">
        <f>IF(Input!$I$10="",0,IF(B38=Input!$I$10,Input!$I$9,IF(B38=Input!$I$10+12,Input!$I$9*(1+annual_incr_ins),IF(B38=Input!$I$10+24,Input!$I$9*(1+annual_incr_ins)^2,IF(B38=Input!$I$10+36,Input!$I$9*(1+annual_incr_ins)^3,IF(B38=Input!$I$10+48,Input!$I$9*(1+annual_incr_ins)^4,IF(B38=Input!$I$10+60,Input!$I$9*(1+annual_incr_ins)^5,IF(B38=Input!$I$10+72,Input!$I$9*(1+annual_incr_ins)^6,IF(B38=Input!$I$10+84,Input!$I$9*(1+annual_incr_ins)^7,IF(B38=Input!$I$10+96,Input!$I$9*(1+annual_incr_ins)^8,IF(B38=Input!$I$10+108,Input!$I$9*(1+annual_incr_ins)^9,IF(B38=Input!$I$10+120,Input!$I$9*(1+annual_incr_ins)^10,0))))))))))))</f>
        <v>0</v>
      </c>
      <c r="I38" s="139">
        <f>IF(OR(Input!$I$13="",B38&lt;Input!$I$13),0,IF(AND(B38&gt;=Input!$I$13,B38&lt;Input!$I$13+12),Input!$I$12,IF(B38=Input!$I$13+12,Input!$I$12*(1+annual_incr_util),IF(B38=Input!$I$13+24,Input!$I$12*(1+annual_incr_util)^2,IF(B38=Input!$I$13+36,Input!$I$12*(1+annual_incr_util)^3,IF(B38=Input!$I$13+48,Input!$I$12*(1+annual_incr_util)^4,IF(B38=Input!$I$13+60,Input!$I$12*(1+annual_incr_util)^5,IF(B38=Input!$I$13+72,Input!$I$12*(1+annual_incr_util)^6,IF(B38=Input!$I$13+84,Input!$I$12*(1+annual_incr_util)^7,IF(B38=Input!$I$13+96,Input!$I$12*(1+annual_incr_util)^8,IF(B38=Input!$I$13+108,Input!$I$12*(1+annual_incr_util)^9,IF(B38=Input!$I$13+120,Input!$I$12*(1+annual_incr_util)^10,I37))))))))))))</f>
        <v>479.72531249999997</v>
      </c>
      <c r="J38" s="139">
        <f>IF(Input!$I$16="",0,IF(B38=Input!$I$16,Input!$I$15,IF(B38=Input!$I$16+12,Input!$I$15*(1+annual_incr_advtg),IF(B38=Input!$I$16+24,Input!$I$15*(1+annual_incr_advtg)^2,IF(B38=Input!$I$16+36,Input!$I$15*(1+annual_incr_advtg)^3,IF(B38=Input!$I$16+48,Input!$I$15*(1+annual_incr_advtg)^4,IF(B38=Input!$I$16+60,Input!$I$15*(1+annual_incr_advtg)^5,IF(B38=Input!$I$16+72,Input!$I$15*(1+annual_incr_advtg)^6,IF(B38=Input!$I$16+84,Input!$I$15*(1+annual_incr_advtg)^7,IF(B38=Input!$I$16+96,Input!$I$15*(1+annual_incr_advtg)^8,IF(B38=Input!$I$16+108,Input!$I$15*(1+annual_incr_advtg)^9,IF(B38=Input!$I$16+120,Input!$I$15*(1+annual_incr_advtg)^10,0))))))))))))</f>
        <v>0</v>
      </c>
      <c r="K38" s="139">
        <f>IF(Input!$I$19="",0,IF(B38=Input!$I$19,Input!$I$18,IF(B38=Input!$I$19+12,Input!$I$18*(1+annual_incr_other1),IF(B38=Input!$I$19+24,Input!$I$18*(1+annual_incr_other1)^2,IF(B38=Input!$I$19+36,Input!$I$18*(1+annual_incr_other1)^3,IF(B38=Input!$I$19+48,Input!$I$18*(1+annual_incr_other1)^4,IF(B38=Input!$I$19+60,Input!$I$18*(1+annual_incr_other1)^5,IF(B38=Input!$I$19+72,Input!$I$18*(1+annual_incr_other1)^6,IF(B38=Input!$I$19+84,Input!$I$18*(1+annual_incr_other1)^7,IF(B38=Input!$I$19+96,Input!$I$18*(1+annual_incr_other1)^8,IF(B38=Input!$I$19+108,Input!$I$18*(1+annual_incr_other1)^9,IF(B38=Input!$I$19+120,Input!$I$18*(1+annual_incr_other1)^10,0))))))))))))</f>
        <v>0</v>
      </c>
      <c r="L38" s="156">
        <f>IF(OR(Input!$I$22="",B38&lt;Input!$I$22),0,IF(AND(B38&gt;=Input!$I$22,B38&lt;Input!$I$22+12),Input!$I$21,IF(B38=Input!$I$22+12,Input!$I$21*(1+annual_incr_other2),IF(B38=Input!$I$22+24,Input!$I$21*(1+annual_incr_other2)^2,IF(B38=Input!$I$22+36,Input!$I$21*(1+annual_incr_other2)^3,IF(B38=Input!$I$22+48,Input!$I$21*(1+annual_incr_other2)^4,IF(B38=Input!$I$22+60,Input!$I$21*(1+annual_incr_other2)^5,IF(B38=Input!$I$22+72,Input!$I$21*(1+annual_incr_other2)^6,IF(B38=Input!$I$22+84,Input!$I$21*(1+annual_incr_other2)^7,IF(B38=Input!$I$22+96,Input!$I$21*(1+annual_incr_other2)^8,IF(B38=Input!$I$22+108,Input!$I$21*(1+annual_incr_other2)^9,IF(B38=Input!$I$22+120,Input!$I$21*(1+annual_incr_other2)^10,L37))))))))))))</f>
        <v>577.84375</v>
      </c>
      <c r="M38" s="139">
        <f>IF(OR(Input!$I$27="",B38&lt;Input!$I$27),0,E38*mgmt_fee)</f>
        <v>1600.56</v>
      </c>
      <c r="N38" s="139">
        <f>IF(OR(Input!$I$29="",B38&lt;Input!$I$29),0,E38*repairs_maint)</f>
        <v>1956.2399999999998</v>
      </c>
      <c r="O38" s="149">
        <f>IF(Input!$I$31="",0,IF(OR(B38=Input!$I$31,B38=Input!$I$31+12,B38=Input!$I$31+24,B38=Input!$I$31+36,B38=Input!$I$31+48,B38=Input!$I$31+60,B38=Input!$I$31+72,B38=Input!$I$31+84,B38=Input!$I$31+96,B38=Input!$I$31+108,B38=Input!$I$31+120),E38*other_3,0))</f>
        <v>0</v>
      </c>
      <c r="P38" s="158">
        <f t="shared" si="13"/>
        <v>4614.3690624999999</v>
      </c>
      <c r="Q38" s="159">
        <f t="shared" si="14"/>
        <v>173225.63093750001</v>
      </c>
      <c r="R38" s="160"/>
      <c r="S38" s="161">
        <f>IF(AND(leveraged_property,B38&lt;=amort_period),-IPMT(interest_rate/12,B38,amort_period,loan_amount),0)</f>
        <v>41847.935955512585</v>
      </c>
      <c r="T38" s="149">
        <f t="shared" si="15"/>
        <v>12092.019172452645</v>
      </c>
      <c r="U38" s="149">
        <f>IF(AND(leveraged_property,B38&lt;=amort_period),-PMT(interest_rate/12,amort_period,loan_amount),0)</f>
        <v>53939.95512796523</v>
      </c>
      <c r="V38" s="149">
        <f t="shared" ref="V38:V69" si="37">V37-T38</f>
        <v>9118366.7347575687</v>
      </c>
      <c r="W38" s="160"/>
      <c r="X38" s="149">
        <f t="shared" ref="X38:X69" si="38">IF(MOD(month_no-1,12)=0,X37+X37*appreciation_rate,X37)</f>
        <v>95090.625</v>
      </c>
      <c r="Y38" s="162">
        <f t="shared" ref="Y38:Y69" si="39">Y37+X38*(1-cost_of_sale)</f>
        <v>22821750</v>
      </c>
      <c r="Z38" s="156">
        <f t="shared" si="27"/>
        <v>23909032.297708578</v>
      </c>
      <c r="AA38" s="163">
        <f t="shared" ca="1" si="28"/>
        <v>23909032.297708578</v>
      </c>
      <c r="AB38" s="160"/>
      <c r="AC38" s="164">
        <f>Input!$C$25/12</f>
        <v>26538.461538461535</v>
      </c>
      <c r="AD38" s="139">
        <f t="shared" si="29"/>
        <v>104839.23344352588</v>
      </c>
      <c r="AE38" s="149">
        <f t="shared" si="30"/>
        <v>31451.770033057765</v>
      </c>
      <c r="AF38" s="139">
        <f ca="1">IF(AA38=0,0,AA38-(total_initial_cost-SUM($AC$5:AC38)))</f>
        <v>4111339.9900162704</v>
      </c>
      <c r="AG38" s="139">
        <f t="shared" ca="1" si="31"/>
        <v>822267.99800325418</v>
      </c>
      <c r="AH38" s="149">
        <f t="shared" ca="1" si="19"/>
        <v>23086764.299705323</v>
      </c>
      <c r="AI38" s="103"/>
      <c r="AJ38" s="165">
        <f t="shared" ca="1" si="32"/>
        <v>2386764.2997053228</v>
      </c>
      <c r="AK38" s="165">
        <f t="shared" ca="1" si="22"/>
        <v>3489884.1744875051</v>
      </c>
      <c r="AL38" s="300">
        <f t="shared" ca="1" si="23"/>
        <v>0.31159680129352724</v>
      </c>
      <c r="AM38" s="300">
        <f t="shared" si="24"/>
        <v>0.11588251120909973</v>
      </c>
      <c r="AN38" s="300">
        <f t="shared" si="25"/>
        <v>9.3969255414371969E-2</v>
      </c>
      <c r="AO38" s="301">
        <f>IF(leveraged_property,SUM(Q27:Q38)/SUM(U27:U38),"N/A")</f>
        <v>3.005137197560483</v>
      </c>
      <c r="AP38" s="103"/>
      <c r="AQ38" s="149">
        <f t="shared" si="20"/>
        <v>119285.67580953479</v>
      </c>
      <c r="AR38" s="149">
        <f t="shared" ca="1" si="33"/>
        <v>14909951.238760546</v>
      </c>
      <c r="AS38" s="288">
        <f ca="1">IF(down_payment&lt;=0,"N/A",IRR(($AQ$4:AQ37,AR38),))</f>
        <v>1.5539753108619136E-2</v>
      </c>
      <c r="AT38" s="290">
        <f t="shared" ca="1" si="34"/>
        <v>0.20327014515857456</v>
      </c>
      <c r="AU38" s="288">
        <f ca="1">IF(down_payment&lt;=0,"N/A",MIRR(($AQ$4:AQ37,AR38),finance_rate,reinvestment_rate))</f>
        <v>1.5481145538951635E-2</v>
      </c>
      <c r="AV38" s="290">
        <f t="shared" ca="1" si="35"/>
        <v>0.20243711000829268</v>
      </c>
      <c r="AW38" s="103"/>
      <c r="AX38" s="152">
        <f t="shared" si="36"/>
        <v>87833.905776477026</v>
      </c>
      <c r="AY38" s="296" t="str">
        <f>IF(AND(B38=$BA$4,OR(down_payment&lt;=0,purchase_date="")),"N/A",IF(B38=$BA$4,XIRR(AX$4:AX38,A$4:A38),""))</f>
        <v/>
      </c>
      <c r="BA38" s="178"/>
    </row>
    <row r="39" spans="1:53">
      <c r="A39" s="137">
        <f t="shared" si="21"/>
        <v>41228</v>
      </c>
      <c r="B39" s="138">
        <f t="shared" si="11"/>
        <v>35</v>
      </c>
      <c r="C39" s="139">
        <f>C38+(C38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39" s="139">
        <f t="shared" si="26"/>
        <v>9360</v>
      </c>
      <c r="E39" s="140">
        <f t="shared" si="12"/>
        <v>177840</v>
      </c>
      <c r="F39" s="141"/>
      <c r="G39" s="157">
        <f>IF(Input!$I$7="",0,IF(B39=Input!$I$7,Input!$I$6,IF(B39=Input!$I$7+12,Input!$I$6*(1+annual_incr_proptax),IF(B39=Input!$I$7+24,Input!$I$6*(1+annual_incr_proptax)^2,IF(B39=Input!$I$7+36,Input!$I$6*(1+annual_incr_proptax)^3,IF(B39=Input!$I$7+48,Input!$I$6*(1+annual_incr_proptax)^4,IF(B39=Input!$I$7+60,Input!$I$6*(1+annual_incr_proptax)^5,IF(B39=Input!$I$7+72,Input!$I$6*(1+annual_incr_proptax)^6,IF(B39=Input!$I$7+84,Input!$I$6*(1+annual_incr_proptax)^7,IF(B39=Input!$I$7+96,Input!$I$6*(1+annual_incr_proptax)^8,IF(B39=Input!$I$7+108,Input!$I$6*(1+annual_incr_proptax)^9,IF(B39=Input!$I$7+120,Input!$I$6*(1+annual_incr_proptax)^10,0))))))))))))</f>
        <v>0</v>
      </c>
      <c r="H39" s="139">
        <f>IF(Input!$I$10="",0,IF(B39=Input!$I$10,Input!$I$9,IF(B39=Input!$I$10+12,Input!$I$9*(1+annual_incr_ins),IF(B39=Input!$I$10+24,Input!$I$9*(1+annual_incr_ins)^2,IF(B39=Input!$I$10+36,Input!$I$9*(1+annual_incr_ins)^3,IF(B39=Input!$I$10+48,Input!$I$9*(1+annual_incr_ins)^4,IF(B39=Input!$I$10+60,Input!$I$9*(1+annual_incr_ins)^5,IF(B39=Input!$I$10+72,Input!$I$9*(1+annual_incr_ins)^6,IF(B39=Input!$I$10+84,Input!$I$9*(1+annual_incr_ins)^7,IF(B39=Input!$I$10+96,Input!$I$9*(1+annual_incr_ins)^8,IF(B39=Input!$I$10+108,Input!$I$9*(1+annual_incr_ins)^9,IF(B39=Input!$I$10+120,Input!$I$9*(1+annual_incr_ins)^10,0))))))))))))</f>
        <v>0</v>
      </c>
      <c r="I39" s="139">
        <f>IF(OR(Input!$I$13="",B39&lt;Input!$I$13),0,IF(AND(B39&gt;=Input!$I$13,B39&lt;Input!$I$13+12),Input!$I$12,IF(B39=Input!$I$13+12,Input!$I$12*(1+annual_incr_util),IF(B39=Input!$I$13+24,Input!$I$12*(1+annual_incr_util)^2,IF(B39=Input!$I$13+36,Input!$I$12*(1+annual_incr_util)^3,IF(B39=Input!$I$13+48,Input!$I$12*(1+annual_incr_util)^4,IF(B39=Input!$I$13+60,Input!$I$12*(1+annual_incr_util)^5,IF(B39=Input!$I$13+72,Input!$I$12*(1+annual_incr_util)^6,IF(B39=Input!$I$13+84,Input!$I$12*(1+annual_incr_util)^7,IF(B39=Input!$I$13+96,Input!$I$12*(1+annual_incr_util)^8,IF(B39=Input!$I$13+108,Input!$I$12*(1+annual_incr_util)^9,IF(B39=Input!$I$13+120,Input!$I$12*(1+annual_incr_util)^10,I38))))))))))))</f>
        <v>479.72531249999997</v>
      </c>
      <c r="J39" s="139">
        <f>IF(Input!$I$16="",0,IF(B39=Input!$I$16,Input!$I$15,IF(B39=Input!$I$16+12,Input!$I$15*(1+annual_incr_advtg),IF(B39=Input!$I$16+24,Input!$I$15*(1+annual_incr_advtg)^2,IF(B39=Input!$I$16+36,Input!$I$15*(1+annual_incr_advtg)^3,IF(B39=Input!$I$16+48,Input!$I$15*(1+annual_incr_advtg)^4,IF(B39=Input!$I$16+60,Input!$I$15*(1+annual_incr_advtg)^5,IF(B39=Input!$I$16+72,Input!$I$15*(1+annual_incr_advtg)^6,IF(B39=Input!$I$16+84,Input!$I$15*(1+annual_incr_advtg)^7,IF(B39=Input!$I$16+96,Input!$I$15*(1+annual_incr_advtg)^8,IF(B39=Input!$I$16+108,Input!$I$15*(1+annual_incr_advtg)^9,IF(B39=Input!$I$16+120,Input!$I$15*(1+annual_incr_advtg)^10,0))))))))))))</f>
        <v>0</v>
      </c>
      <c r="K39" s="139">
        <f>IF(Input!$I$19="",0,IF(B39=Input!$I$19,Input!$I$18,IF(B39=Input!$I$19+12,Input!$I$18*(1+annual_incr_other1),IF(B39=Input!$I$19+24,Input!$I$18*(1+annual_incr_other1)^2,IF(B39=Input!$I$19+36,Input!$I$18*(1+annual_incr_other1)^3,IF(B39=Input!$I$19+48,Input!$I$18*(1+annual_incr_other1)^4,IF(B39=Input!$I$19+60,Input!$I$18*(1+annual_incr_other1)^5,IF(B39=Input!$I$19+72,Input!$I$18*(1+annual_incr_other1)^6,IF(B39=Input!$I$19+84,Input!$I$18*(1+annual_incr_other1)^7,IF(B39=Input!$I$19+96,Input!$I$18*(1+annual_incr_other1)^8,IF(B39=Input!$I$19+108,Input!$I$18*(1+annual_incr_other1)^9,IF(B39=Input!$I$19+120,Input!$I$18*(1+annual_incr_other1)^10,0))))))))))))</f>
        <v>0</v>
      </c>
      <c r="L39" s="156">
        <f>IF(OR(Input!$I$22="",B39&lt;Input!$I$22),0,IF(AND(B39&gt;=Input!$I$22,B39&lt;Input!$I$22+12),Input!$I$21,IF(B39=Input!$I$22+12,Input!$I$21*(1+annual_incr_other2),IF(B39=Input!$I$22+24,Input!$I$21*(1+annual_incr_other2)^2,IF(B39=Input!$I$22+36,Input!$I$21*(1+annual_incr_other2)^3,IF(B39=Input!$I$22+48,Input!$I$21*(1+annual_incr_other2)^4,IF(B39=Input!$I$22+60,Input!$I$21*(1+annual_incr_other2)^5,IF(B39=Input!$I$22+72,Input!$I$21*(1+annual_incr_other2)^6,IF(B39=Input!$I$22+84,Input!$I$21*(1+annual_incr_other2)^7,IF(B39=Input!$I$22+96,Input!$I$21*(1+annual_incr_other2)^8,IF(B39=Input!$I$22+108,Input!$I$21*(1+annual_incr_other2)^9,IF(B39=Input!$I$22+120,Input!$I$21*(1+annual_incr_other2)^10,L38))))))))))))</f>
        <v>577.84375</v>
      </c>
      <c r="M39" s="139">
        <f>IF(OR(Input!$I$27="",B39&lt;Input!$I$27),0,E39*mgmt_fee)</f>
        <v>1600.56</v>
      </c>
      <c r="N39" s="139">
        <f>IF(OR(Input!$I$29="",B39&lt;Input!$I$29),0,E39*repairs_maint)</f>
        <v>1956.2399999999998</v>
      </c>
      <c r="O39" s="149">
        <f>IF(Input!$I$31="",0,IF(OR(B39=Input!$I$31,B39=Input!$I$31+12,B39=Input!$I$31+24,B39=Input!$I$31+36,B39=Input!$I$31+48,B39=Input!$I$31+60,B39=Input!$I$31+72,B39=Input!$I$31+84,B39=Input!$I$31+96,B39=Input!$I$31+108,B39=Input!$I$31+120),E39*other_3,0))</f>
        <v>0</v>
      </c>
      <c r="P39" s="158">
        <f t="shared" si="13"/>
        <v>4614.3690624999999</v>
      </c>
      <c r="Q39" s="159">
        <f t="shared" si="14"/>
        <v>173225.63093750001</v>
      </c>
      <c r="R39" s="160"/>
      <c r="S39" s="161">
        <f>IF(AND(leveraged_property,B39&lt;=amort_period),-IPMT(interest_rate/12,B39,amort_period,loan_amount),0)</f>
        <v>41792.514200972182</v>
      </c>
      <c r="T39" s="149">
        <f t="shared" si="15"/>
        <v>12147.440926993047</v>
      </c>
      <c r="U39" s="149">
        <f>IF(AND(leveraged_property,B39&lt;=amort_period),-PMT(interest_rate/12,amort_period,loan_amount),0)</f>
        <v>53939.95512796523</v>
      </c>
      <c r="V39" s="149">
        <f t="shared" si="37"/>
        <v>9106219.2938305754</v>
      </c>
      <c r="W39" s="160"/>
      <c r="X39" s="149">
        <f t="shared" si="38"/>
        <v>95090.625</v>
      </c>
      <c r="Y39" s="162">
        <f t="shared" si="39"/>
        <v>22913037</v>
      </c>
      <c r="Z39" s="156">
        <f t="shared" si="27"/>
        <v>23908671.851711709</v>
      </c>
      <c r="AA39" s="163">
        <f t="shared" ca="1" si="28"/>
        <v>23908671.851711709</v>
      </c>
      <c r="AB39" s="160"/>
      <c r="AC39" s="164">
        <f>Input!$C$25/12</f>
        <v>26538.461538461535</v>
      </c>
      <c r="AD39" s="139">
        <f t="shared" si="29"/>
        <v>104894.65519806629</v>
      </c>
      <c r="AE39" s="149">
        <f t="shared" si="30"/>
        <v>31468.396559419885</v>
      </c>
      <c r="AF39" s="139">
        <f ca="1">IF(AA39=0,0,AA39-(total_initial_cost-SUM($AC$5:AC39)))</f>
        <v>4137518.0055578612</v>
      </c>
      <c r="AG39" s="139">
        <f t="shared" ca="1" si="31"/>
        <v>827503.60111157224</v>
      </c>
      <c r="AH39" s="149">
        <f t="shared" ca="1" si="19"/>
        <v>23081168.250600137</v>
      </c>
      <c r="AI39" s="103"/>
      <c r="AJ39" s="165">
        <f t="shared" ca="1" si="32"/>
        <v>2381168.2506001368</v>
      </c>
      <c r="AK39" s="165">
        <f t="shared" ca="1" si="22"/>
        <v>3502447.9661131557</v>
      </c>
      <c r="AL39" s="300">
        <f t="shared" ca="1" si="23"/>
        <v>0.31271856840296031</v>
      </c>
      <c r="AM39" s="300">
        <f t="shared" si="24"/>
        <v>0.11814090459637651</v>
      </c>
      <c r="AN39" s="300">
        <f t="shared" si="25"/>
        <v>9.5191188068357482E-2</v>
      </c>
      <c r="AO39" s="301">
        <f>IF(leveraged_property,SUM(Q28:Q39)/SUM(U28:U39),"N/A")</f>
        <v>3.0442146091587028</v>
      </c>
      <c r="AP39" s="103"/>
      <c r="AQ39" s="149">
        <f t="shared" si="20"/>
        <v>119285.67580953479</v>
      </c>
      <c r="AR39" s="149">
        <f t="shared" ca="1" si="33"/>
        <v>14921738.23369067</v>
      </c>
      <c r="AS39" s="288">
        <f ca="1">IF(down_payment&lt;=0,"N/A",IRR(($AQ$4:AQ38,AR39),))</f>
        <v>1.537124473046793E-2</v>
      </c>
      <c r="AT39" s="290">
        <f t="shared" ca="1" si="34"/>
        <v>0.20087642899353164</v>
      </c>
      <c r="AU39" s="288">
        <f ca="1">IF(down_payment&lt;=0,"N/A",MIRR(($AQ$4:AQ38,AR39),finance_rate,reinvestment_rate))</f>
        <v>1.5329643698807516E-2</v>
      </c>
      <c r="AV39" s="290">
        <f t="shared" ca="1" si="35"/>
        <v>0.20028614508414777</v>
      </c>
      <c r="AW39" s="103"/>
      <c r="AX39" s="152">
        <f t="shared" si="36"/>
        <v>87817.279250114909</v>
      </c>
      <c r="AY39" s="296" t="str">
        <f>IF(AND(B39=$BA$4,OR(down_payment&lt;=0,purchase_date="")),"N/A",IF(B39=$BA$4,XIRR(AX$4:AX39,A$4:A39),""))</f>
        <v/>
      </c>
      <c r="BA39" s="178"/>
    </row>
    <row r="40" spans="1:53">
      <c r="A40" s="181">
        <f t="shared" si="21"/>
        <v>41258</v>
      </c>
      <c r="B40" s="182">
        <f t="shared" si="11"/>
        <v>36</v>
      </c>
      <c r="C40" s="183">
        <f>C39+(C39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0" s="183">
        <f t="shared" si="26"/>
        <v>9360</v>
      </c>
      <c r="E40" s="184">
        <f t="shared" si="12"/>
        <v>177840</v>
      </c>
      <c r="F40" s="141"/>
      <c r="G40" s="185">
        <f>IF(Input!$I$7="",0,IF(B40=Input!$I$7,Input!$I$6,IF(B40=Input!$I$7+12,Input!$I$6*(1+annual_incr_proptax),IF(B40=Input!$I$7+24,Input!$I$6*(1+annual_incr_proptax)^2,IF(B40=Input!$I$7+36,Input!$I$6*(1+annual_incr_proptax)^3,IF(B40=Input!$I$7+48,Input!$I$6*(1+annual_incr_proptax)^4,IF(B40=Input!$I$7+60,Input!$I$6*(1+annual_incr_proptax)^5,IF(B40=Input!$I$7+72,Input!$I$6*(1+annual_incr_proptax)^6,IF(B40=Input!$I$7+84,Input!$I$6*(1+annual_incr_proptax)^7,IF(B40=Input!$I$7+96,Input!$I$6*(1+annual_incr_proptax)^8,IF(B40=Input!$I$7+108,Input!$I$6*(1+annual_incr_proptax)^9,IF(B40=Input!$I$7+120,Input!$I$6*(1+annual_incr_proptax)^10,0))))))))))))</f>
        <v>0</v>
      </c>
      <c r="H40" s="183">
        <f>IF(Input!$I$10="",0,IF(B40=Input!$I$10,Input!$I$9,IF(B40=Input!$I$10+12,Input!$I$9*(1+annual_incr_ins),IF(B40=Input!$I$10+24,Input!$I$9*(1+annual_incr_ins)^2,IF(B40=Input!$I$10+36,Input!$I$9*(1+annual_incr_ins)^3,IF(B40=Input!$I$10+48,Input!$I$9*(1+annual_incr_ins)^4,IF(B40=Input!$I$10+60,Input!$I$9*(1+annual_incr_ins)^5,IF(B40=Input!$I$10+72,Input!$I$9*(1+annual_incr_ins)^6,IF(B40=Input!$I$10+84,Input!$I$9*(1+annual_incr_ins)^7,IF(B40=Input!$I$10+96,Input!$I$9*(1+annual_incr_ins)^8,IF(B40=Input!$I$10+108,Input!$I$9*(1+annual_incr_ins)^9,IF(B40=Input!$I$10+120,Input!$I$9*(1+annual_incr_ins)^10,0))))))))))))</f>
        <v>0</v>
      </c>
      <c r="I40" s="183">
        <f>IF(OR(Input!$I$13="",B40&lt;Input!$I$13),0,IF(AND(B40&gt;=Input!$I$13,B40&lt;Input!$I$13+12),Input!$I$12,IF(B40=Input!$I$13+12,Input!$I$12*(1+annual_incr_util),IF(B40=Input!$I$13+24,Input!$I$12*(1+annual_incr_util)^2,IF(B40=Input!$I$13+36,Input!$I$12*(1+annual_incr_util)^3,IF(B40=Input!$I$13+48,Input!$I$12*(1+annual_incr_util)^4,IF(B40=Input!$I$13+60,Input!$I$12*(1+annual_incr_util)^5,IF(B40=Input!$I$13+72,Input!$I$12*(1+annual_incr_util)^6,IF(B40=Input!$I$13+84,Input!$I$12*(1+annual_incr_util)^7,IF(B40=Input!$I$13+96,Input!$I$12*(1+annual_incr_util)^8,IF(B40=Input!$I$13+108,Input!$I$12*(1+annual_incr_util)^9,IF(B40=Input!$I$13+120,Input!$I$12*(1+annual_incr_util)^10,I39))))))))))))</f>
        <v>479.72531249999997</v>
      </c>
      <c r="J40" s="183">
        <f>IF(Input!$I$16="",0,IF(B40=Input!$I$16,Input!$I$15,IF(B40=Input!$I$16+12,Input!$I$15*(1+annual_incr_advtg),IF(B40=Input!$I$16+24,Input!$I$15*(1+annual_incr_advtg)^2,IF(B40=Input!$I$16+36,Input!$I$15*(1+annual_incr_advtg)^3,IF(B40=Input!$I$16+48,Input!$I$15*(1+annual_incr_advtg)^4,IF(B40=Input!$I$16+60,Input!$I$15*(1+annual_incr_advtg)^5,IF(B40=Input!$I$16+72,Input!$I$15*(1+annual_incr_advtg)^6,IF(B40=Input!$I$16+84,Input!$I$15*(1+annual_incr_advtg)^7,IF(B40=Input!$I$16+96,Input!$I$15*(1+annual_incr_advtg)^8,IF(B40=Input!$I$16+108,Input!$I$15*(1+annual_incr_advtg)^9,IF(B40=Input!$I$16+120,Input!$I$15*(1+annual_incr_advtg)^10,0))))))))))))</f>
        <v>0</v>
      </c>
      <c r="K40" s="183">
        <f>IF(Input!$I$19="",0,IF(B40=Input!$I$19,Input!$I$18,IF(B40=Input!$I$19+12,Input!$I$18*(1+annual_incr_other1),IF(B40=Input!$I$19+24,Input!$I$18*(1+annual_incr_other1)^2,IF(B40=Input!$I$19+36,Input!$I$18*(1+annual_incr_other1)^3,IF(B40=Input!$I$19+48,Input!$I$18*(1+annual_incr_other1)^4,IF(B40=Input!$I$19+60,Input!$I$18*(1+annual_incr_other1)^5,IF(B40=Input!$I$19+72,Input!$I$18*(1+annual_incr_other1)^6,IF(B40=Input!$I$19+84,Input!$I$18*(1+annual_incr_other1)^7,IF(B40=Input!$I$19+96,Input!$I$18*(1+annual_incr_other1)^8,IF(B40=Input!$I$19+108,Input!$I$18*(1+annual_incr_other1)^9,IF(B40=Input!$I$19+120,Input!$I$18*(1+annual_incr_other1)^10,0))))))))))))</f>
        <v>0</v>
      </c>
      <c r="L40" s="183">
        <f>IF(OR(Input!$I$22="",B40&lt;Input!$I$22),0,IF(AND(B40&gt;=Input!$I$22,B40&lt;Input!$I$22+12),Input!$I$21,IF(B40=Input!$I$22+12,Input!$I$21*(1+annual_incr_other2),IF(B40=Input!$I$22+24,Input!$I$21*(1+annual_incr_other2)^2,IF(B40=Input!$I$22+36,Input!$I$21*(1+annual_incr_other2)^3,IF(B40=Input!$I$22+48,Input!$I$21*(1+annual_incr_other2)^4,IF(B40=Input!$I$22+60,Input!$I$21*(1+annual_incr_other2)^5,IF(B40=Input!$I$22+72,Input!$I$21*(1+annual_incr_other2)^6,IF(B40=Input!$I$22+84,Input!$I$21*(1+annual_incr_other2)^7,IF(B40=Input!$I$22+96,Input!$I$21*(1+annual_incr_other2)^8,IF(B40=Input!$I$22+108,Input!$I$21*(1+annual_incr_other2)^9,IF(B40=Input!$I$22+120,Input!$I$21*(1+annual_incr_other2)^10,L39))))))))))))</f>
        <v>577.84375</v>
      </c>
      <c r="M40" s="183">
        <f>IF(OR(Input!$I$27="",B40&lt;Input!$I$27),0,E40*mgmt_fee)</f>
        <v>1600.56</v>
      </c>
      <c r="N40" s="183">
        <f>IF(OR(Input!$I$29="",B40&lt;Input!$I$29),0,E40*repairs_maint)</f>
        <v>1956.2399999999998</v>
      </c>
      <c r="O40" s="186">
        <f>IF(Input!$I$31="",0,IF(OR(B40=Input!$I$31,B40=Input!$I$31+12,B40=Input!$I$31+24,B40=Input!$I$31+36,B40=Input!$I$31+48,B40=Input!$I$31+60,B40=Input!$I$31+72,B40=Input!$I$31+84,B40=Input!$I$31+96,B40=Input!$I$31+108,B40=Input!$I$31+120),E40*other_3,0))</f>
        <v>0</v>
      </c>
      <c r="P40" s="187">
        <f t="shared" si="13"/>
        <v>4614.3690624999999</v>
      </c>
      <c r="Q40" s="188">
        <f t="shared" si="14"/>
        <v>173225.63093750001</v>
      </c>
      <c r="R40" s="160"/>
      <c r="S40" s="189">
        <f>IF(AND(leveraged_property,B40&lt;=amort_period),-IPMT(interest_rate/12,B40,amort_period,loan_amount),0)</f>
        <v>41736.838430056792</v>
      </c>
      <c r="T40" s="186">
        <f t="shared" si="15"/>
        <v>12203.116697908437</v>
      </c>
      <c r="U40" s="186">
        <f>IF(AND(leveraged_property,B40&lt;=amort_period),-PMT(interest_rate/12,amort_period,loan_amount),0)</f>
        <v>53939.95512796523</v>
      </c>
      <c r="V40" s="186">
        <f t="shared" si="37"/>
        <v>9094016.1771326661</v>
      </c>
      <c r="W40" s="160"/>
      <c r="X40" s="186">
        <f t="shared" si="38"/>
        <v>95090.625</v>
      </c>
      <c r="Y40" s="186">
        <f t="shared" si="39"/>
        <v>23004324</v>
      </c>
      <c r="Z40" s="183">
        <f t="shared" si="27"/>
        <v>23908311.405714832</v>
      </c>
      <c r="AA40" s="188">
        <f t="shared" ca="1" si="28"/>
        <v>23908311.405714832</v>
      </c>
      <c r="AB40" s="160"/>
      <c r="AC40" s="190">
        <f>Input!$C$25/12</f>
        <v>26538.461538461535</v>
      </c>
      <c r="AD40" s="183">
        <f t="shared" si="29"/>
        <v>104950.3309689817</v>
      </c>
      <c r="AE40" s="186">
        <f t="shared" si="30"/>
        <v>31485.099290694507</v>
      </c>
      <c r="AF40" s="183">
        <f ca="1">IF(AA40=0,0,AA40-(total_initial_cost-SUM($AC$5:AC40)))</f>
        <v>4163696.0210994482</v>
      </c>
      <c r="AG40" s="183">
        <f t="shared" ca="1" si="31"/>
        <v>832739.20421988971</v>
      </c>
      <c r="AH40" s="186">
        <f t="shared" ca="1" si="19"/>
        <v>23075572.201494943</v>
      </c>
      <c r="AI40" s="103"/>
      <c r="AJ40" s="191">
        <f t="shared" ca="1" si="32"/>
        <v>2375572.2014949434</v>
      </c>
      <c r="AK40" s="191">
        <f t="shared" ca="1" si="22"/>
        <v>3515013.8387397658</v>
      </c>
      <c r="AL40" s="298">
        <f t="shared" ca="1" si="23"/>
        <v>0.3138405213160505</v>
      </c>
      <c r="AM40" s="298">
        <f t="shared" si="24"/>
        <v>0.1203992979836533</v>
      </c>
      <c r="AN40" s="298">
        <f t="shared" si="25"/>
        <v>9.6413120722342982E-2</v>
      </c>
      <c r="AO40" s="299">
        <f>IF(leveraged_property,SUM(Q29:Q40)/SUM(U29:U40),"N/A")</f>
        <v>3.0832920207569225</v>
      </c>
      <c r="AP40" s="103"/>
      <c r="AQ40" s="186">
        <f t="shared" si="20"/>
        <v>119285.67580953479</v>
      </c>
      <c r="AR40" s="186">
        <f t="shared" ca="1" si="33"/>
        <v>14933580.904391702</v>
      </c>
      <c r="AS40" s="289">
        <f ca="1">IF(down_payment&lt;=0,"N/A",IRR(($AQ$4:AQ39,AR40),))</f>
        <v>1.5212286751505318E-2</v>
      </c>
      <c r="AT40" s="291">
        <f t="shared" ca="1" si="34"/>
        <v>0.19862238114538067</v>
      </c>
      <c r="AU40" s="289">
        <f ca="1">IF(down_payment&lt;=0,"N/A",MIRR(($AQ$4:AQ39,AR40),finance_rate,reinvestment_rate))</f>
        <v>1.5187756218822956E-2</v>
      </c>
      <c r="AV40" s="291">
        <f t="shared" ca="1" si="35"/>
        <v>0.19827488017049055</v>
      </c>
      <c r="AW40" s="103"/>
      <c r="AX40" s="192">
        <f t="shared" ca="1" si="36"/>
        <v>14069356.600881118</v>
      </c>
      <c r="AY40" s="296">
        <f ca="1">IF(AND(B40=$BA$4,OR(down_payment&lt;=0,purchase_date="")),"N/A",IF(B40=$BA$4,XIRR(AX$4:AX40,A$4:A40),""))</f>
        <v>0.15225477814674379</v>
      </c>
      <c r="BA40" s="178"/>
    </row>
    <row r="41" spans="1:53">
      <c r="A41" s="137">
        <f t="shared" si="21"/>
        <v>41289</v>
      </c>
      <c r="B41" s="138">
        <f t="shared" si="11"/>
        <v>37</v>
      </c>
      <c r="C41" s="139">
        <f>C40+(C40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1" s="139">
        <f t="shared" si="26"/>
        <v>9360</v>
      </c>
      <c r="E41" s="140">
        <f t="shared" si="12"/>
        <v>177840</v>
      </c>
      <c r="F41" s="141"/>
      <c r="G41" s="157">
        <f>IF(Input!$I$7="",0,IF(B41=Input!$I$7,Input!$I$6,IF(B41=Input!$I$7+12,Input!$I$6*(1+annual_incr_proptax),IF(B41=Input!$I$7+24,Input!$I$6*(1+annual_incr_proptax)^2,IF(B41=Input!$I$7+36,Input!$I$6*(1+annual_incr_proptax)^3,IF(B41=Input!$I$7+48,Input!$I$6*(1+annual_incr_proptax)^4,IF(B41=Input!$I$7+60,Input!$I$6*(1+annual_incr_proptax)^5,IF(B41=Input!$I$7+72,Input!$I$6*(1+annual_incr_proptax)^6,IF(B41=Input!$I$7+84,Input!$I$6*(1+annual_incr_proptax)^7,IF(B41=Input!$I$7+96,Input!$I$6*(1+annual_incr_proptax)^8,IF(B41=Input!$I$7+108,Input!$I$6*(1+annual_incr_proptax)^9,IF(B41=Input!$I$7+120,Input!$I$6*(1+annual_incr_proptax)^10,0))))))))))))</f>
        <v>0</v>
      </c>
      <c r="H41" s="139">
        <f>IF(Input!$I$10="",0,IF(B41=Input!$I$10,Input!$I$9,IF(B41=Input!$I$10+12,Input!$I$9*(1+annual_incr_ins),IF(B41=Input!$I$10+24,Input!$I$9*(1+annual_incr_ins)^2,IF(B41=Input!$I$10+36,Input!$I$9*(1+annual_incr_ins)^3,IF(B41=Input!$I$10+48,Input!$I$9*(1+annual_incr_ins)^4,IF(B41=Input!$I$10+60,Input!$I$9*(1+annual_incr_ins)^5,IF(B41=Input!$I$10+72,Input!$I$9*(1+annual_incr_ins)^6,IF(B41=Input!$I$10+84,Input!$I$9*(1+annual_incr_ins)^7,IF(B41=Input!$I$10+96,Input!$I$9*(1+annual_incr_ins)^8,IF(B41=Input!$I$10+108,Input!$I$9*(1+annual_incr_ins)^9,IF(B41=Input!$I$10+120,Input!$I$9*(1+annual_incr_ins)^10,0))))))))))))</f>
        <v>0</v>
      </c>
      <c r="I41" s="139">
        <f>IF(OR(Input!$I$13="",B41&lt;Input!$I$13),0,IF(AND(B41&gt;=Input!$I$13,B41&lt;Input!$I$13+12),Input!$I$12,IF(B41=Input!$I$13+12,Input!$I$12*(1+annual_incr_util),IF(B41=Input!$I$13+24,Input!$I$12*(1+annual_incr_util)^2,IF(B41=Input!$I$13+36,Input!$I$12*(1+annual_incr_util)^3,IF(B41=Input!$I$13+48,Input!$I$12*(1+annual_incr_util)^4,IF(B41=Input!$I$13+60,Input!$I$12*(1+annual_incr_util)^5,IF(B41=Input!$I$13+72,Input!$I$12*(1+annual_incr_util)^6,IF(B41=Input!$I$13+84,Input!$I$12*(1+annual_incr_util)^7,IF(B41=Input!$I$13+96,Input!$I$12*(1+annual_incr_util)^8,IF(B41=Input!$I$13+108,Input!$I$12*(1+annual_incr_util)^9,IF(B41=Input!$I$13+120,Input!$I$12*(1+annual_incr_util)^10,I40))))))))))))</f>
        <v>479.72531249999997</v>
      </c>
      <c r="J41" s="139">
        <f>IF(Input!$I$16="",0,IF(B41=Input!$I$16,Input!$I$15,IF(B41=Input!$I$16+12,Input!$I$15*(1+annual_incr_advtg),IF(B41=Input!$I$16+24,Input!$I$15*(1+annual_incr_advtg)^2,IF(B41=Input!$I$16+36,Input!$I$15*(1+annual_incr_advtg)^3,IF(B41=Input!$I$16+48,Input!$I$15*(1+annual_incr_advtg)^4,IF(B41=Input!$I$16+60,Input!$I$15*(1+annual_incr_advtg)^5,IF(B41=Input!$I$16+72,Input!$I$15*(1+annual_incr_advtg)^6,IF(B41=Input!$I$16+84,Input!$I$15*(1+annual_incr_advtg)^7,IF(B41=Input!$I$16+96,Input!$I$15*(1+annual_incr_advtg)^8,IF(B41=Input!$I$16+108,Input!$I$15*(1+annual_incr_advtg)^9,IF(B41=Input!$I$16+120,Input!$I$15*(1+annual_incr_advtg)^10,0))))))))))))</f>
        <v>0</v>
      </c>
      <c r="K41" s="139">
        <f>IF(Input!$I$19="",0,IF(B41=Input!$I$19,Input!$I$18,IF(B41=Input!$I$19+12,Input!$I$18*(1+annual_incr_other1),IF(B41=Input!$I$19+24,Input!$I$18*(1+annual_incr_other1)^2,IF(B41=Input!$I$19+36,Input!$I$18*(1+annual_incr_other1)^3,IF(B41=Input!$I$19+48,Input!$I$18*(1+annual_incr_other1)^4,IF(B41=Input!$I$19+60,Input!$I$18*(1+annual_incr_other1)^5,IF(B41=Input!$I$19+72,Input!$I$18*(1+annual_incr_other1)^6,IF(B41=Input!$I$19+84,Input!$I$18*(1+annual_incr_other1)^7,IF(B41=Input!$I$19+96,Input!$I$18*(1+annual_incr_other1)^8,IF(B41=Input!$I$19+108,Input!$I$18*(1+annual_incr_other1)^9,IF(B41=Input!$I$19+120,Input!$I$18*(1+annual_incr_other1)^10,0))))))))))))</f>
        <v>0</v>
      </c>
      <c r="L41" s="156">
        <f>IF(OR(Input!$I$22="",B41&lt;Input!$I$22),0,IF(AND(B41&gt;=Input!$I$22,B41&lt;Input!$I$22+12),Input!$I$21,IF(B41=Input!$I$22+12,Input!$I$21*(1+annual_incr_other2),IF(B41=Input!$I$22+24,Input!$I$21*(1+annual_incr_other2)^2,IF(B41=Input!$I$22+36,Input!$I$21*(1+annual_incr_other2)^3,IF(B41=Input!$I$22+48,Input!$I$21*(1+annual_incr_other2)^4,IF(B41=Input!$I$22+60,Input!$I$21*(1+annual_incr_other2)^5,IF(B41=Input!$I$22+72,Input!$I$21*(1+annual_incr_other2)^6,IF(B41=Input!$I$22+84,Input!$I$21*(1+annual_incr_other2)^7,IF(B41=Input!$I$22+96,Input!$I$21*(1+annual_incr_other2)^8,IF(B41=Input!$I$22+108,Input!$I$21*(1+annual_incr_other2)^9,IF(B41=Input!$I$22+120,Input!$I$21*(1+annual_incr_other2)^10,L40))))))))))))</f>
        <v>592.28984374999993</v>
      </c>
      <c r="M41" s="139">
        <f>IF(OR(Input!$I$27="",B41&lt;Input!$I$27),0,E41*mgmt_fee)</f>
        <v>1600.56</v>
      </c>
      <c r="N41" s="139">
        <f>IF(OR(Input!$I$29="",B41&lt;Input!$I$29),0,E41*repairs_maint)</f>
        <v>1956.2399999999998</v>
      </c>
      <c r="O41" s="149">
        <f>IF(Input!$I$31="",0,IF(OR(B41=Input!$I$31,B41=Input!$I$31+12,B41=Input!$I$31+24,B41=Input!$I$31+36,B41=Input!$I$31+48,B41=Input!$I$31+60,B41=Input!$I$31+72,B41=Input!$I$31+84,B41=Input!$I$31+96,B41=Input!$I$31+108,B41=Input!$I$31+120),E41*other_3,0))</f>
        <v>0</v>
      </c>
      <c r="P41" s="158">
        <f t="shared" si="13"/>
        <v>4628.8151562499997</v>
      </c>
      <c r="Q41" s="159">
        <f t="shared" si="14"/>
        <v>173211.18484375</v>
      </c>
      <c r="R41" s="160"/>
      <c r="S41" s="161">
        <f>IF(AND(leveraged_property,B41&lt;=amort_period),-IPMT(interest_rate/12,B41,amort_period,loan_amount),0)</f>
        <v>41680.907478524721</v>
      </c>
      <c r="T41" s="149">
        <f t="shared" si="15"/>
        <v>12259.047649440508</v>
      </c>
      <c r="U41" s="149">
        <f>IF(AND(leveraged_property,B41&lt;=amort_period),-PMT(interest_rate/12,amort_period,loan_amount),0)</f>
        <v>53939.95512796523</v>
      </c>
      <c r="V41" s="149">
        <f t="shared" si="37"/>
        <v>9081757.1294832248</v>
      </c>
      <c r="W41" s="160"/>
      <c r="X41" s="149">
        <f t="shared" si="38"/>
        <v>99845.15625</v>
      </c>
      <c r="Y41" s="162">
        <f t="shared" si="39"/>
        <v>23100175.350000001</v>
      </c>
      <c r="Z41" s="156">
        <f t="shared" si="27"/>
        <v>24263484.35388983</v>
      </c>
      <c r="AA41" s="163">
        <f t="shared" ca="1" si="28"/>
        <v>24263484.35388983</v>
      </c>
      <c r="AB41" s="160"/>
      <c r="AC41" s="164">
        <f>Input!$C$25/12</f>
        <v>26538.461538461535</v>
      </c>
      <c r="AD41" s="139">
        <f t="shared" si="29"/>
        <v>104991.81582676375</v>
      </c>
      <c r="AE41" s="149">
        <f t="shared" si="30"/>
        <v>31497.544748029122</v>
      </c>
      <c r="AF41" s="139">
        <f ca="1">IF(AA41=0,0,AA41-(total_initial_cost-SUM($AC$5:AC41)))</f>
        <v>4545407.4308129065</v>
      </c>
      <c r="AG41" s="139">
        <f t="shared" ca="1" si="31"/>
        <v>909081.48616258136</v>
      </c>
      <c r="AH41" s="149">
        <f t="shared" ca="1" si="19"/>
        <v>23354402.86772725</v>
      </c>
      <c r="AI41" s="103"/>
      <c r="AJ41" s="165">
        <f t="shared" ca="1" si="32"/>
        <v>2654402.8677272499</v>
      </c>
      <c r="AK41" s="165">
        <f t="shared" ca="1" si="22"/>
        <v>3794282.0306021394</v>
      </c>
      <c r="AL41" s="300">
        <f t="shared" ca="1" si="23"/>
        <v>0.33877518130376244</v>
      </c>
      <c r="AM41" s="300">
        <f t="shared" si="24"/>
        <v>0.12039665991166669</v>
      </c>
      <c r="AN41" s="300">
        <f t="shared" si="25"/>
        <v>9.6411693359722203E-2</v>
      </c>
      <c r="AO41" s="301">
        <f>IF(leveraged_property,SUM(Q30:Q41)/SUM(U30:U41),"N/A")</f>
        <v>3.0832463736940912</v>
      </c>
      <c r="AP41" s="103"/>
      <c r="AQ41" s="149">
        <f t="shared" si="20"/>
        <v>119271.22971578478</v>
      </c>
      <c r="AR41" s="149">
        <f t="shared" ca="1" si="33"/>
        <v>15300998.454122389</v>
      </c>
      <c r="AS41" s="288">
        <f ca="1">IF(down_payment&lt;=0,"N/A",IRR(($AQ$4:AQ40,AR41),))</f>
        <v>1.5624771299319089E-2</v>
      </c>
      <c r="AT41" s="290">
        <f t="shared" ca="1" si="34"/>
        <v>0.20447951544984333</v>
      </c>
      <c r="AU41" s="288">
        <f ca="1">IF(down_payment&lt;=0,"N/A",MIRR(($AQ$4:AQ40,AR41),finance_rate,reinvestment_rate))</f>
        <v>1.5551281173775688E-2</v>
      </c>
      <c r="AV41" s="290">
        <f t="shared" ca="1" si="35"/>
        <v>0.20343406480038584</v>
      </c>
      <c r="AW41" s="103"/>
      <c r="AX41" s="152" t="str">
        <f t="shared" si="36"/>
        <v/>
      </c>
      <c r="AY41" s="296" t="str">
        <f>IF(AND(B41=$BA$4,OR(down_payment&lt;=0,purchase_date="")),"N/A",IF(B41=$BA$4,XIRR(AX$4:AX41,A$4:A41),""))</f>
        <v/>
      </c>
      <c r="BA41" s="178"/>
    </row>
    <row r="42" spans="1:53">
      <c r="A42" s="137">
        <f t="shared" si="21"/>
        <v>41320</v>
      </c>
      <c r="B42" s="138">
        <f t="shared" si="11"/>
        <v>38</v>
      </c>
      <c r="C42" s="139">
        <f>C41+(C41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2" s="139">
        <f t="shared" si="26"/>
        <v>9360</v>
      </c>
      <c r="E42" s="140">
        <f t="shared" si="12"/>
        <v>177840</v>
      </c>
      <c r="F42" s="141"/>
      <c r="G42" s="157">
        <f>IF(Input!$I$7="",0,IF(B42=Input!$I$7,Input!$I$6,IF(B42=Input!$I$7+12,Input!$I$6*(1+annual_incr_proptax),IF(B42=Input!$I$7+24,Input!$I$6*(1+annual_incr_proptax)^2,IF(B42=Input!$I$7+36,Input!$I$6*(1+annual_incr_proptax)^3,IF(B42=Input!$I$7+48,Input!$I$6*(1+annual_incr_proptax)^4,IF(B42=Input!$I$7+60,Input!$I$6*(1+annual_incr_proptax)^5,IF(B42=Input!$I$7+72,Input!$I$6*(1+annual_incr_proptax)^6,IF(B42=Input!$I$7+84,Input!$I$6*(1+annual_incr_proptax)^7,IF(B42=Input!$I$7+96,Input!$I$6*(1+annual_incr_proptax)^8,IF(B42=Input!$I$7+108,Input!$I$6*(1+annual_incr_proptax)^9,IF(B42=Input!$I$7+120,Input!$I$6*(1+annual_incr_proptax)^10,0))))))))))))</f>
        <v>52109.740124999989</v>
      </c>
      <c r="H42" s="139">
        <f>IF(Input!$I$10="",0,IF(B42=Input!$I$10,Input!$I$9,IF(B42=Input!$I$10+12,Input!$I$9*(1+annual_incr_ins),IF(B42=Input!$I$10+24,Input!$I$9*(1+annual_incr_ins)^2,IF(B42=Input!$I$10+36,Input!$I$9*(1+annual_incr_ins)^3,IF(B42=Input!$I$10+48,Input!$I$9*(1+annual_incr_ins)^4,IF(B42=Input!$I$10+60,Input!$I$9*(1+annual_incr_ins)^5,IF(B42=Input!$I$10+72,Input!$I$9*(1+annual_incr_ins)^6,IF(B42=Input!$I$10+84,Input!$I$9*(1+annual_incr_ins)^7,IF(B42=Input!$I$10+96,Input!$I$9*(1+annual_incr_ins)^8,IF(B42=Input!$I$10+108,Input!$I$9*(1+annual_incr_ins)^9,IF(B42=Input!$I$10+120,Input!$I$9*(1+annual_incr_ins)^10,0))))))))))))</f>
        <v>0</v>
      </c>
      <c r="I42" s="139">
        <f>IF(OR(Input!$I$13="",B42&lt;Input!$I$13),0,IF(AND(B42&gt;=Input!$I$13,B42&lt;Input!$I$13+12),Input!$I$12,IF(B42=Input!$I$13+12,Input!$I$12*(1+annual_incr_util),IF(B42=Input!$I$13+24,Input!$I$12*(1+annual_incr_util)^2,IF(B42=Input!$I$13+36,Input!$I$12*(1+annual_incr_util)^3,IF(B42=Input!$I$13+48,Input!$I$12*(1+annual_incr_util)^4,IF(B42=Input!$I$13+60,Input!$I$12*(1+annual_incr_util)^5,IF(B42=Input!$I$13+72,Input!$I$12*(1+annual_incr_util)^6,IF(B42=Input!$I$13+84,Input!$I$12*(1+annual_incr_util)^7,IF(B42=Input!$I$13+96,Input!$I$12*(1+annual_incr_util)^8,IF(B42=Input!$I$13+108,Input!$I$12*(1+annual_incr_util)^9,IF(B42=Input!$I$13+120,Input!$I$12*(1+annual_incr_util)^10,I41))))))))))))</f>
        <v>479.72531249999997</v>
      </c>
      <c r="J42" s="139">
        <f>IF(Input!$I$16="",0,IF(B42=Input!$I$16,Input!$I$15,IF(B42=Input!$I$16+12,Input!$I$15*(1+annual_incr_advtg),IF(B42=Input!$I$16+24,Input!$I$15*(1+annual_incr_advtg)^2,IF(B42=Input!$I$16+36,Input!$I$15*(1+annual_incr_advtg)^3,IF(B42=Input!$I$16+48,Input!$I$15*(1+annual_incr_advtg)^4,IF(B42=Input!$I$16+60,Input!$I$15*(1+annual_incr_advtg)^5,IF(B42=Input!$I$16+72,Input!$I$15*(1+annual_incr_advtg)^6,IF(B42=Input!$I$16+84,Input!$I$15*(1+annual_incr_advtg)^7,IF(B42=Input!$I$16+96,Input!$I$15*(1+annual_incr_advtg)^8,IF(B42=Input!$I$16+108,Input!$I$15*(1+annual_incr_advtg)^9,IF(B42=Input!$I$16+120,Input!$I$15*(1+annual_incr_advtg)^10,0))))))))))))</f>
        <v>0</v>
      </c>
      <c r="K42" s="139">
        <f>IF(Input!$I$19="",0,IF(B42=Input!$I$19,Input!$I$18,IF(B42=Input!$I$19+12,Input!$I$18*(1+annual_incr_other1),IF(B42=Input!$I$19+24,Input!$I$18*(1+annual_incr_other1)^2,IF(B42=Input!$I$19+36,Input!$I$18*(1+annual_incr_other1)^3,IF(B42=Input!$I$19+48,Input!$I$18*(1+annual_incr_other1)^4,IF(B42=Input!$I$19+60,Input!$I$18*(1+annual_incr_other1)^5,IF(B42=Input!$I$19+72,Input!$I$18*(1+annual_incr_other1)^6,IF(B42=Input!$I$19+84,Input!$I$18*(1+annual_incr_other1)^7,IF(B42=Input!$I$19+96,Input!$I$18*(1+annual_incr_other1)^8,IF(B42=Input!$I$19+108,Input!$I$18*(1+annual_incr_other1)^9,IF(B42=Input!$I$19+120,Input!$I$18*(1+annual_incr_other1)^10,0))))))))))))</f>
        <v>0</v>
      </c>
      <c r="L42" s="156">
        <f>IF(OR(Input!$I$22="",B42&lt;Input!$I$22),0,IF(AND(B42&gt;=Input!$I$22,B42&lt;Input!$I$22+12),Input!$I$21,IF(B42=Input!$I$22+12,Input!$I$21*(1+annual_incr_other2),IF(B42=Input!$I$22+24,Input!$I$21*(1+annual_incr_other2)^2,IF(B42=Input!$I$22+36,Input!$I$21*(1+annual_incr_other2)^3,IF(B42=Input!$I$22+48,Input!$I$21*(1+annual_incr_other2)^4,IF(B42=Input!$I$22+60,Input!$I$21*(1+annual_incr_other2)^5,IF(B42=Input!$I$22+72,Input!$I$21*(1+annual_incr_other2)^6,IF(B42=Input!$I$22+84,Input!$I$21*(1+annual_incr_other2)^7,IF(B42=Input!$I$22+96,Input!$I$21*(1+annual_incr_other2)^8,IF(B42=Input!$I$22+108,Input!$I$21*(1+annual_incr_other2)^9,IF(B42=Input!$I$22+120,Input!$I$21*(1+annual_incr_other2)^10,L41))))))))))))</f>
        <v>592.28984374999993</v>
      </c>
      <c r="M42" s="139">
        <f>IF(OR(Input!$I$27="",B42&lt;Input!$I$27),0,E42*mgmt_fee)</f>
        <v>1600.56</v>
      </c>
      <c r="N42" s="139">
        <f>IF(OR(Input!$I$29="",B42&lt;Input!$I$29),0,E42*repairs_maint)</f>
        <v>1956.2399999999998</v>
      </c>
      <c r="O42" s="149">
        <f>IF(Input!$I$31="",0,IF(OR(B42=Input!$I$31,B42=Input!$I$31+12,B42=Input!$I$31+24,B42=Input!$I$31+36,B42=Input!$I$31+48,B42=Input!$I$31+60,B42=Input!$I$31+72,B42=Input!$I$31+84,B42=Input!$I$31+96,B42=Input!$I$31+108,B42=Input!$I$31+120),E42*other_3,0))</f>
        <v>2276.3520000000003</v>
      </c>
      <c r="P42" s="158">
        <f t="shared" si="13"/>
        <v>59014.90728124998</v>
      </c>
      <c r="Q42" s="159">
        <f t="shared" si="14"/>
        <v>118825.09271875002</v>
      </c>
      <c r="R42" s="160"/>
      <c r="S42" s="161">
        <f>IF(AND(leveraged_property,B42&lt;=amort_period),-IPMT(interest_rate/12,B42,amort_period,loan_amount),0)</f>
        <v>41624.720176798117</v>
      </c>
      <c r="T42" s="149">
        <f t="shared" si="15"/>
        <v>12315.234951167113</v>
      </c>
      <c r="U42" s="149">
        <f>IF(AND(leveraged_property,B42&lt;=amort_period),-PMT(interest_rate/12,amort_period,loan_amount),0)</f>
        <v>53939.95512796523</v>
      </c>
      <c r="V42" s="149">
        <f t="shared" si="37"/>
        <v>9069441.8945320584</v>
      </c>
      <c r="W42" s="160"/>
      <c r="X42" s="149">
        <f t="shared" si="38"/>
        <v>99845.15625</v>
      </c>
      <c r="Y42" s="162">
        <f t="shared" si="39"/>
        <v>23196026.700000003</v>
      </c>
      <c r="Z42" s="156">
        <f t="shared" si="27"/>
        <v>24592127.453132328</v>
      </c>
      <c r="AA42" s="163">
        <f t="shared" ca="1" si="28"/>
        <v>24592127.453132328</v>
      </c>
      <c r="AB42" s="160"/>
      <c r="AC42" s="164">
        <f>Input!$C$25/12</f>
        <v>26538.461538461535</v>
      </c>
      <c r="AD42" s="139">
        <f t="shared" si="29"/>
        <v>50661.911003490372</v>
      </c>
      <c r="AE42" s="149">
        <f t="shared" si="30"/>
        <v>15198.57330104711</v>
      </c>
      <c r="AF42" s="139">
        <f ca="1">IF(AA42=0,0,AA42-(total_initial_cost-SUM($AC$5:AC42)))</f>
        <v>4900588.9915938638</v>
      </c>
      <c r="AG42" s="139">
        <f t="shared" ca="1" si="31"/>
        <v>980117.79831877281</v>
      </c>
      <c r="AH42" s="149">
        <f t="shared" ca="1" si="19"/>
        <v>23612009.654813554</v>
      </c>
      <c r="AI42" s="103"/>
      <c r="AJ42" s="165">
        <f t="shared" ca="1" si="32"/>
        <v>2912009.6548135541</v>
      </c>
      <c r="AK42" s="165">
        <f t="shared" ca="1" si="22"/>
        <v>4051094.9278515344</v>
      </c>
      <c r="AL42" s="300">
        <f t="shared" ca="1" si="23"/>
        <v>0.36170490427245844</v>
      </c>
      <c r="AM42" s="300">
        <f t="shared" si="24"/>
        <v>0.12023668566780508</v>
      </c>
      <c r="AN42" s="300">
        <f t="shared" si="25"/>
        <v>9.6325137247101428E-2</v>
      </c>
      <c r="AO42" s="301">
        <f>IF(leveraged_property,SUM(Q31:Q42)/SUM(U31:U42),"N/A")</f>
        <v>3.0804783088353678</v>
      </c>
      <c r="AP42" s="103"/>
      <c r="AQ42" s="149">
        <f t="shared" si="20"/>
        <v>64885.137590784791</v>
      </c>
      <c r="AR42" s="149">
        <f t="shared" ca="1" si="33"/>
        <v>15587570.696191054</v>
      </c>
      <c r="AS42" s="288">
        <f ca="1">IF(down_payment&lt;=0,"N/A",IRR(($AQ$4:AQ41,AR42),))</f>
        <v>1.5877667425157359E-2</v>
      </c>
      <c r="AT42" s="290">
        <f t="shared" ca="1" si="34"/>
        <v>0.20808351245680989</v>
      </c>
      <c r="AU42" s="288">
        <f ca="1">IF(down_payment&lt;=0,"N/A",MIRR(($AQ$4:AQ41,AR42),finance_rate,reinvestment_rate))</f>
        <v>1.577232972455711E-2</v>
      </c>
      <c r="AV42" s="290">
        <f t="shared" ca="1" si="35"/>
        <v>0.20658115609619898</v>
      </c>
      <c r="AW42" s="103"/>
      <c r="AX42" s="152" t="str">
        <f t="shared" si="36"/>
        <v/>
      </c>
      <c r="AY42" s="296" t="str">
        <f>IF(AND(B42=$BA$4,OR(down_payment&lt;=0,purchase_date="")),"N/A",IF(B42=$BA$4,XIRR(AX$4:AX42,A$4:A42),""))</f>
        <v/>
      </c>
      <c r="BA42" s="178"/>
    </row>
    <row r="43" spans="1:53">
      <c r="A43" s="137">
        <f t="shared" si="21"/>
        <v>41348</v>
      </c>
      <c r="B43" s="138">
        <f t="shared" si="11"/>
        <v>39</v>
      </c>
      <c r="C43" s="139">
        <f>C42+(C42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3" s="139">
        <f t="shared" si="26"/>
        <v>9360</v>
      </c>
      <c r="E43" s="140">
        <f t="shared" si="12"/>
        <v>177840</v>
      </c>
      <c r="F43" s="141"/>
      <c r="G43" s="157">
        <f>IF(Input!$I$7="",0,IF(B43=Input!$I$7,Input!$I$6,IF(B43=Input!$I$7+12,Input!$I$6*(1+annual_incr_proptax),IF(B43=Input!$I$7+24,Input!$I$6*(1+annual_incr_proptax)^2,IF(B43=Input!$I$7+36,Input!$I$6*(1+annual_incr_proptax)^3,IF(B43=Input!$I$7+48,Input!$I$6*(1+annual_incr_proptax)^4,IF(B43=Input!$I$7+60,Input!$I$6*(1+annual_incr_proptax)^5,IF(B43=Input!$I$7+72,Input!$I$6*(1+annual_incr_proptax)^6,IF(B43=Input!$I$7+84,Input!$I$6*(1+annual_incr_proptax)^7,IF(B43=Input!$I$7+96,Input!$I$6*(1+annual_incr_proptax)^8,IF(B43=Input!$I$7+108,Input!$I$6*(1+annual_incr_proptax)^9,IF(B43=Input!$I$7+120,Input!$I$6*(1+annual_incr_proptax)^10,0))))))))))))</f>
        <v>0</v>
      </c>
      <c r="H43" s="139">
        <f>IF(Input!$I$10="",0,IF(B43=Input!$I$10,Input!$I$9,IF(B43=Input!$I$10+12,Input!$I$9*(1+annual_incr_ins),IF(B43=Input!$I$10+24,Input!$I$9*(1+annual_incr_ins)^2,IF(B43=Input!$I$10+36,Input!$I$9*(1+annual_incr_ins)^3,IF(B43=Input!$I$10+48,Input!$I$9*(1+annual_incr_ins)^4,IF(B43=Input!$I$10+60,Input!$I$9*(1+annual_incr_ins)^5,IF(B43=Input!$I$10+72,Input!$I$9*(1+annual_incr_ins)^6,IF(B43=Input!$I$10+84,Input!$I$9*(1+annual_incr_ins)^7,IF(B43=Input!$I$10+96,Input!$I$9*(1+annual_incr_ins)^8,IF(B43=Input!$I$10+108,Input!$I$9*(1+annual_incr_ins)^9,IF(B43=Input!$I$10+120,Input!$I$9*(1+annual_incr_ins)^10,0))))))))))))</f>
        <v>0</v>
      </c>
      <c r="I43" s="139">
        <f>IF(OR(Input!$I$13="",B43&lt;Input!$I$13),0,IF(AND(B43&gt;=Input!$I$13,B43&lt;Input!$I$13+12),Input!$I$12,IF(B43=Input!$I$13+12,Input!$I$12*(1+annual_incr_util),IF(B43=Input!$I$13+24,Input!$I$12*(1+annual_incr_util)^2,IF(B43=Input!$I$13+36,Input!$I$12*(1+annual_incr_util)^3,IF(B43=Input!$I$13+48,Input!$I$12*(1+annual_incr_util)^4,IF(B43=Input!$I$13+60,Input!$I$12*(1+annual_incr_util)^5,IF(B43=Input!$I$13+72,Input!$I$12*(1+annual_incr_util)^6,IF(B43=Input!$I$13+84,Input!$I$12*(1+annual_incr_util)^7,IF(B43=Input!$I$13+96,Input!$I$12*(1+annual_incr_util)^8,IF(B43=Input!$I$13+108,Input!$I$12*(1+annual_incr_util)^9,IF(B43=Input!$I$13+120,Input!$I$12*(1+annual_incr_util)^10,I42))))))))))))</f>
        <v>479.72531249999997</v>
      </c>
      <c r="J43" s="139">
        <f>IF(Input!$I$16="",0,IF(B43=Input!$I$16,Input!$I$15,IF(B43=Input!$I$16+12,Input!$I$15*(1+annual_incr_advtg),IF(B43=Input!$I$16+24,Input!$I$15*(1+annual_incr_advtg)^2,IF(B43=Input!$I$16+36,Input!$I$15*(1+annual_incr_advtg)^3,IF(B43=Input!$I$16+48,Input!$I$15*(1+annual_incr_advtg)^4,IF(B43=Input!$I$16+60,Input!$I$15*(1+annual_incr_advtg)^5,IF(B43=Input!$I$16+72,Input!$I$15*(1+annual_incr_advtg)^6,IF(B43=Input!$I$16+84,Input!$I$15*(1+annual_incr_advtg)^7,IF(B43=Input!$I$16+96,Input!$I$15*(1+annual_incr_advtg)^8,IF(B43=Input!$I$16+108,Input!$I$15*(1+annual_incr_advtg)^9,IF(B43=Input!$I$16+120,Input!$I$15*(1+annual_incr_advtg)^10,0))))))))))))</f>
        <v>0</v>
      </c>
      <c r="K43" s="139">
        <f>IF(Input!$I$19="",0,IF(B43=Input!$I$19,Input!$I$18,IF(B43=Input!$I$19+12,Input!$I$18*(1+annual_incr_other1),IF(B43=Input!$I$19+24,Input!$I$18*(1+annual_incr_other1)^2,IF(B43=Input!$I$19+36,Input!$I$18*(1+annual_incr_other1)^3,IF(B43=Input!$I$19+48,Input!$I$18*(1+annual_incr_other1)^4,IF(B43=Input!$I$19+60,Input!$I$18*(1+annual_incr_other1)^5,IF(B43=Input!$I$19+72,Input!$I$18*(1+annual_incr_other1)^6,IF(B43=Input!$I$19+84,Input!$I$18*(1+annual_incr_other1)^7,IF(B43=Input!$I$19+96,Input!$I$18*(1+annual_incr_other1)^8,IF(B43=Input!$I$19+108,Input!$I$18*(1+annual_incr_other1)^9,IF(B43=Input!$I$19+120,Input!$I$18*(1+annual_incr_other1)^10,0))))))))))))</f>
        <v>0</v>
      </c>
      <c r="L43" s="156">
        <f>IF(OR(Input!$I$22="",B43&lt;Input!$I$22),0,IF(AND(B43&gt;=Input!$I$22,B43&lt;Input!$I$22+12),Input!$I$21,IF(B43=Input!$I$22+12,Input!$I$21*(1+annual_incr_other2),IF(B43=Input!$I$22+24,Input!$I$21*(1+annual_incr_other2)^2,IF(B43=Input!$I$22+36,Input!$I$21*(1+annual_incr_other2)^3,IF(B43=Input!$I$22+48,Input!$I$21*(1+annual_incr_other2)^4,IF(B43=Input!$I$22+60,Input!$I$21*(1+annual_incr_other2)^5,IF(B43=Input!$I$22+72,Input!$I$21*(1+annual_incr_other2)^6,IF(B43=Input!$I$22+84,Input!$I$21*(1+annual_incr_other2)^7,IF(B43=Input!$I$22+96,Input!$I$21*(1+annual_incr_other2)^8,IF(B43=Input!$I$22+108,Input!$I$21*(1+annual_incr_other2)^9,IF(B43=Input!$I$22+120,Input!$I$21*(1+annual_incr_other2)^10,L42))))))))))))</f>
        <v>592.28984374999993</v>
      </c>
      <c r="M43" s="139">
        <f>IF(OR(Input!$I$27="",B43&lt;Input!$I$27),0,E43*mgmt_fee)</f>
        <v>1600.56</v>
      </c>
      <c r="N43" s="139">
        <f>IF(OR(Input!$I$29="",B43&lt;Input!$I$29),0,E43*repairs_maint)</f>
        <v>1956.2399999999998</v>
      </c>
      <c r="O43" s="149">
        <f>IF(Input!$I$31="",0,IF(OR(B43=Input!$I$31,B43=Input!$I$31+12,B43=Input!$I$31+24,B43=Input!$I$31+36,B43=Input!$I$31+48,B43=Input!$I$31+60,B43=Input!$I$31+72,B43=Input!$I$31+84,B43=Input!$I$31+96,B43=Input!$I$31+108,B43=Input!$I$31+120),E43*other_3,0))</f>
        <v>0</v>
      </c>
      <c r="P43" s="158">
        <f t="shared" si="13"/>
        <v>4628.8151562499997</v>
      </c>
      <c r="Q43" s="159">
        <f t="shared" si="14"/>
        <v>173211.18484375</v>
      </c>
      <c r="R43" s="160"/>
      <c r="S43" s="161">
        <f>IF(AND(leveraged_property,B43&lt;=amort_period),-IPMT(interest_rate/12,B43,amort_period,loan_amount),0)</f>
        <v>41568.275349938602</v>
      </c>
      <c r="T43" s="149">
        <f t="shared" si="15"/>
        <v>12371.679778026628</v>
      </c>
      <c r="U43" s="149">
        <f>IF(AND(leveraged_property,B43&lt;=amort_period),-PMT(interest_rate/12,amort_period,loan_amount),0)</f>
        <v>53939.95512796523</v>
      </c>
      <c r="V43" s="149">
        <f t="shared" si="37"/>
        <v>9057070.214754032</v>
      </c>
      <c r="W43" s="160"/>
      <c r="X43" s="149">
        <f t="shared" si="38"/>
        <v>99845.15625</v>
      </c>
      <c r="Y43" s="162">
        <f t="shared" si="39"/>
        <v>23291878.050000004</v>
      </c>
      <c r="Z43" s="156">
        <f t="shared" si="27"/>
        <v>24947300.40130733</v>
      </c>
      <c r="AA43" s="163">
        <f t="shared" ca="1" si="28"/>
        <v>24947300.40130733</v>
      </c>
      <c r="AB43" s="160"/>
      <c r="AC43" s="164">
        <f>Input!$C$25/12</f>
        <v>26538.461538461535</v>
      </c>
      <c r="AD43" s="139">
        <f t="shared" si="29"/>
        <v>105104.44795534987</v>
      </c>
      <c r="AE43" s="149">
        <f t="shared" si="30"/>
        <v>31531.334386604958</v>
      </c>
      <c r="AF43" s="139">
        <f ca="1">IF(AA43=0,0,AA43-(total_initial_cost-SUM($AC$5:AC43)))</f>
        <v>5282300.4013073295</v>
      </c>
      <c r="AG43" s="139">
        <f t="shared" ca="1" si="31"/>
        <v>1056460.0802614659</v>
      </c>
      <c r="AH43" s="149">
        <f t="shared" ca="1" si="19"/>
        <v>23890840.321045864</v>
      </c>
      <c r="AI43" s="103"/>
      <c r="AJ43" s="165">
        <f t="shared" ca="1" si="32"/>
        <v>3190840.3210458644</v>
      </c>
      <c r="AK43" s="165">
        <f t="shared" ca="1" si="22"/>
        <v>4330367.3295805128</v>
      </c>
      <c r="AL43" s="300">
        <f t="shared" ca="1" si="23"/>
        <v>0.38663994014111724</v>
      </c>
      <c r="AM43" s="300">
        <f t="shared" si="24"/>
        <v>0.12023404759581849</v>
      </c>
      <c r="AN43" s="300">
        <f t="shared" si="25"/>
        <v>9.6323709884480677E-2</v>
      </c>
      <c r="AO43" s="301">
        <f>IF(leveraged_property,SUM(Q32:Q43)/SUM(U32:U43),"N/A")</f>
        <v>3.0804326617725373</v>
      </c>
      <c r="AP43" s="103"/>
      <c r="AQ43" s="149">
        <f t="shared" si="20"/>
        <v>119271.22971578478</v>
      </c>
      <c r="AR43" s="149">
        <f t="shared" ca="1" si="33"/>
        <v>16009501.416269081</v>
      </c>
      <c r="AS43" s="288">
        <f ca="1">IF(down_payment&lt;=0,"N/A",IRR(($AQ$4:AQ42,AR43),))</f>
        <v>1.6220595139495388E-2</v>
      </c>
      <c r="AT43" s="290">
        <f t="shared" ca="1" si="34"/>
        <v>0.21298633139657897</v>
      </c>
      <c r="AU43" s="288">
        <f ca="1">IF(down_payment&lt;=0,"N/A",MIRR(($AQ$4:AQ42,AR43),finance_rate,reinvestment_rate))</f>
        <v>1.6071653721619228E-2</v>
      </c>
      <c r="AV43" s="290">
        <f t="shared" ca="1" si="35"/>
        <v>0.21085468782482941</v>
      </c>
      <c r="AW43" s="103"/>
      <c r="AX43" s="152" t="str">
        <f t="shared" si="36"/>
        <v/>
      </c>
      <c r="AY43" s="296" t="str">
        <f>IF(AND(B43=$BA$4,OR(down_payment&lt;=0,purchase_date="")),"N/A",IF(B43=$BA$4,XIRR(AX$4:AX43,A$4:A43),""))</f>
        <v/>
      </c>
      <c r="BA43" s="178"/>
    </row>
    <row r="44" spans="1:53">
      <c r="A44" s="137">
        <f t="shared" si="21"/>
        <v>41379</v>
      </c>
      <c r="B44" s="138">
        <f t="shared" si="11"/>
        <v>40</v>
      </c>
      <c r="C44" s="139">
        <f>C43+(C43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4" s="139">
        <f t="shared" si="26"/>
        <v>9360</v>
      </c>
      <c r="E44" s="140">
        <f t="shared" si="12"/>
        <v>177840</v>
      </c>
      <c r="F44" s="141"/>
      <c r="G44" s="157">
        <f>IF(Input!$I$7="",0,IF(B44=Input!$I$7,Input!$I$6,IF(B44=Input!$I$7+12,Input!$I$6*(1+annual_incr_proptax),IF(B44=Input!$I$7+24,Input!$I$6*(1+annual_incr_proptax)^2,IF(B44=Input!$I$7+36,Input!$I$6*(1+annual_incr_proptax)^3,IF(B44=Input!$I$7+48,Input!$I$6*(1+annual_incr_proptax)^4,IF(B44=Input!$I$7+60,Input!$I$6*(1+annual_incr_proptax)^5,IF(B44=Input!$I$7+72,Input!$I$6*(1+annual_incr_proptax)^6,IF(B44=Input!$I$7+84,Input!$I$6*(1+annual_incr_proptax)^7,IF(B44=Input!$I$7+96,Input!$I$6*(1+annual_incr_proptax)^8,IF(B44=Input!$I$7+108,Input!$I$6*(1+annual_incr_proptax)^9,IF(B44=Input!$I$7+120,Input!$I$6*(1+annual_incr_proptax)^10,0))))))))))))</f>
        <v>0</v>
      </c>
      <c r="H44" s="139">
        <f>IF(Input!$I$10="",0,IF(B44=Input!$I$10,Input!$I$9,IF(B44=Input!$I$10+12,Input!$I$9*(1+annual_incr_ins),IF(B44=Input!$I$10+24,Input!$I$9*(1+annual_incr_ins)^2,IF(B44=Input!$I$10+36,Input!$I$9*(1+annual_incr_ins)^3,IF(B44=Input!$I$10+48,Input!$I$9*(1+annual_incr_ins)^4,IF(B44=Input!$I$10+60,Input!$I$9*(1+annual_incr_ins)^5,IF(B44=Input!$I$10+72,Input!$I$9*(1+annual_incr_ins)^6,IF(B44=Input!$I$10+84,Input!$I$9*(1+annual_incr_ins)^7,IF(B44=Input!$I$10+96,Input!$I$9*(1+annual_incr_ins)^8,IF(B44=Input!$I$10+108,Input!$I$9*(1+annual_incr_ins)^9,IF(B44=Input!$I$10+120,Input!$I$9*(1+annual_incr_ins)^10,0))))))))))))</f>
        <v>0</v>
      </c>
      <c r="I44" s="139">
        <f>IF(OR(Input!$I$13="",B44&lt;Input!$I$13),0,IF(AND(B44&gt;=Input!$I$13,B44&lt;Input!$I$13+12),Input!$I$12,IF(B44=Input!$I$13+12,Input!$I$12*(1+annual_incr_util),IF(B44=Input!$I$13+24,Input!$I$12*(1+annual_incr_util)^2,IF(B44=Input!$I$13+36,Input!$I$12*(1+annual_incr_util)^3,IF(B44=Input!$I$13+48,Input!$I$12*(1+annual_incr_util)^4,IF(B44=Input!$I$13+60,Input!$I$12*(1+annual_incr_util)^5,IF(B44=Input!$I$13+72,Input!$I$12*(1+annual_incr_util)^6,IF(B44=Input!$I$13+84,Input!$I$12*(1+annual_incr_util)^7,IF(B44=Input!$I$13+96,Input!$I$12*(1+annual_incr_util)^8,IF(B44=Input!$I$13+108,Input!$I$12*(1+annual_incr_util)^9,IF(B44=Input!$I$13+120,Input!$I$12*(1+annual_incr_util)^10,I43))))))))))))</f>
        <v>495.31638515624991</v>
      </c>
      <c r="J44" s="139">
        <f>IF(Input!$I$16="",0,IF(B44=Input!$I$16,Input!$I$15,IF(B44=Input!$I$16+12,Input!$I$15*(1+annual_incr_advtg),IF(B44=Input!$I$16+24,Input!$I$15*(1+annual_incr_advtg)^2,IF(B44=Input!$I$16+36,Input!$I$15*(1+annual_incr_advtg)^3,IF(B44=Input!$I$16+48,Input!$I$15*(1+annual_incr_advtg)^4,IF(B44=Input!$I$16+60,Input!$I$15*(1+annual_incr_advtg)^5,IF(B44=Input!$I$16+72,Input!$I$15*(1+annual_incr_advtg)^6,IF(B44=Input!$I$16+84,Input!$I$15*(1+annual_incr_advtg)^7,IF(B44=Input!$I$16+96,Input!$I$15*(1+annual_incr_advtg)^8,IF(B44=Input!$I$16+108,Input!$I$15*(1+annual_incr_advtg)^9,IF(B44=Input!$I$16+120,Input!$I$15*(1+annual_incr_advtg)^10,0))))))))))))</f>
        <v>0</v>
      </c>
      <c r="K44" s="139">
        <f>IF(Input!$I$19="",0,IF(B44=Input!$I$19,Input!$I$18,IF(B44=Input!$I$19+12,Input!$I$18*(1+annual_incr_other1),IF(B44=Input!$I$19+24,Input!$I$18*(1+annual_incr_other1)^2,IF(B44=Input!$I$19+36,Input!$I$18*(1+annual_incr_other1)^3,IF(B44=Input!$I$19+48,Input!$I$18*(1+annual_incr_other1)^4,IF(B44=Input!$I$19+60,Input!$I$18*(1+annual_incr_other1)^5,IF(B44=Input!$I$19+72,Input!$I$18*(1+annual_incr_other1)^6,IF(B44=Input!$I$19+84,Input!$I$18*(1+annual_incr_other1)^7,IF(B44=Input!$I$19+96,Input!$I$18*(1+annual_incr_other1)^8,IF(B44=Input!$I$19+108,Input!$I$18*(1+annual_incr_other1)^9,IF(B44=Input!$I$19+120,Input!$I$18*(1+annual_incr_other1)^10,0))))))))))))</f>
        <v>0</v>
      </c>
      <c r="L44" s="156">
        <f>IF(OR(Input!$I$22="",B44&lt;Input!$I$22),0,IF(AND(B44&gt;=Input!$I$22,B44&lt;Input!$I$22+12),Input!$I$21,IF(B44=Input!$I$22+12,Input!$I$21*(1+annual_incr_other2),IF(B44=Input!$I$22+24,Input!$I$21*(1+annual_incr_other2)^2,IF(B44=Input!$I$22+36,Input!$I$21*(1+annual_incr_other2)^3,IF(B44=Input!$I$22+48,Input!$I$21*(1+annual_incr_other2)^4,IF(B44=Input!$I$22+60,Input!$I$21*(1+annual_incr_other2)^5,IF(B44=Input!$I$22+72,Input!$I$21*(1+annual_incr_other2)^6,IF(B44=Input!$I$22+84,Input!$I$21*(1+annual_incr_other2)^7,IF(B44=Input!$I$22+96,Input!$I$21*(1+annual_incr_other2)^8,IF(B44=Input!$I$22+108,Input!$I$21*(1+annual_incr_other2)^9,IF(B44=Input!$I$22+120,Input!$I$21*(1+annual_incr_other2)^10,L43))))))))))))</f>
        <v>592.28984374999993</v>
      </c>
      <c r="M44" s="139">
        <f>IF(OR(Input!$I$27="",B44&lt;Input!$I$27),0,E44*mgmt_fee)</f>
        <v>1600.56</v>
      </c>
      <c r="N44" s="139">
        <f>IF(OR(Input!$I$29="",B44&lt;Input!$I$29),0,E44*repairs_maint)</f>
        <v>1956.2399999999998</v>
      </c>
      <c r="O44" s="149">
        <f>IF(Input!$I$31="",0,IF(OR(B44=Input!$I$31,B44=Input!$I$31+12,B44=Input!$I$31+24,B44=Input!$I$31+36,B44=Input!$I$31+48,B44=Input!$I$31+60,B44=Input!$I$31+72,B44=Input!$I$31+84,B44=Input!$I$31+96,B44=Input!$I$31+108,B44=Input!$I$31+120),E44*other_3,0))</f>
        <v>0</v>
      </c>
      <c r="P44" s="158">
        <f t="shared" si="13"/>
        <v>4644.4062289062495</v>
      </c>
      <c r="Q44" s="159">
        <f t="shared" si="14"/>
        <v>173195.59377109376</v>
      </c>
      <c r="R44" s="160"/>
      <c r="S44" s="161">
        <f>IF(AND(leveraged_property,B44&lt;=amort_period),-IPMT(interest_rate/12,B44,amort_period,loan_amount),0)</f>
        <v>41511.571817622636</v>
      </c>
      <c r="T44" s="149">
        <f t="shared" si="15"/>
        <v>12428.383310342593</v>
      </c>
      <c r="U44" s="149">
        <f>IF(AND(leveraged_property,B44&lt;=amort_period),-PMT(interest_rate/12,amort_period,loan_amount),0)</f>
        <v>53939.95512796523</v>
      </c>
      <c r="V44" s="149">
        <f t="shared" si="37"/>
        <v>9044641.8314436898</v>
      </c>
      <c r="W44" s="160"/>
      <c r="X44" s="149">
        <f t="shared" si="38"/>
        <v>99845.15625</v>
      </c>
      <c r="Y44" s="162">
        <f t="shared" si="39"/>
        <v>23387729.400000006</v>
      </c>
      <c r="Z44" s="156">
        <f t="shared" si="27"/>
        <v>25302467.268963993</v>
      </c>
      <c r="AA44" s="163">
        <f t="shared" ca="1" si="28"/>
        <v>25302467.268963993</v>
      </c>
      <c r="AB44" s="160"/>
      <c r="AC44" s="164">
        <f>Input!$C$25/12</f>
        <v>26538.461538461535</v>
      </c>
      <c r="AD44" s="139">
        <f t="shared" si="29"/>
        <v>105145.56041500959</v>
      </c>
      <c r="AE44" s="149">
        <f t="shared" si="30"/>
        <v>31543.668124502874</v>
      </c>
      <c r="AF44" s="139">
        <f ca="1">IF(AA44=0,0,AA44-(total_initial_cost-SUM($AC$5:AC44)))</f>
        <v>5664005.7305024527</v>
      </c>
      <c r="AG44" s="139">
        <f t="shared" ca="1" si="31"/>
        <v>1132801.1461004906</v>
      </c>
      <c r="AH44" s="149">
        <f t="shared" ca="1" si="19"/>
        <v>24169666.122863501</v>
      </c>
      <c r="AI44" s="103"/>
      <c r="AJ44" s="165">
        <f t="shared" ca="1" si="32"/>
        <v>3469666.1228635013</v>
      </c>
      <c r="AK44" s="165">
        <f t="shared" ca="1" si="22"/>
        <v>4609636.6427784553</v>
      </c>
      <c r="AL44" s="300">
        <f t="shared" ca="1" si="23"/>
        <v>0.41157470024807635</v>
      </c>
      <c r="AM44" s="300">
        <f t="shared" si="24"/>
        <v>0.1202313657059608</v>
      </c>
      <c r="AN44" s="300">
        <f t="shared" si="25"/>
        <v>9.6322258813639788E-2</v>
      </c>
      <c r="AO44" s="301">
        <f>IF(leveraged_property,SUM(Q33:Q44)/SUM(U33:U44),"N/A")</f>
        <v>3.0803862565207241</v>
      </c>
      <c r="AP44" s="103"/>
      <c r="AQ44" s="149">
        <f t="shared" si="20"/>
        <v>119255.63864312854</v>
      </c>
      <c r="AR44" s="149">
        <f t="shared" ca="1" si="33"/>
        <v>16377081.07616343</v>
      </c>
      <c r="AS44" s="288">
        <f ca="1">IF(down_payment&lt;=0,"N/A",IRR(($AQ$4:AQ43,AR44),))</f>
        <v>1.653122814028379E-2</v>
      </c>
      <c r="AT44" s="290">
        <f t="shared" ca="1" si="34"/>
        <v>0.21744317119715673</v>
      </c>
      <c r="AU44" s="288">
        <f ca="1">IF(down_payment&lt;=0,"N/A",MIRR(($AQ$4:AQ43,AR44),finance_rate,reinvestment_rate))</f>
        <v>1.6341310252021568E-2</v>
      </c>
      <c r="AV44" s="290">
        <f t="shared" ca="1" si="35"/>
        <v>0.21471652445022293</v>
      </c>
      <c r="AW44" s="103"/>
      <c r="AX44" s="152" t="str">
        <f t="shared" si="36"/>
        <v/>
      </c>
      <c r="AY44" s="296" t="str">
        <f>IF(AND(B44=$BA$4,OR(down_payment&lt;=0,purchase_date="")),"N/A",IF(B44=$BA$4,XIRR(AX$4:AX44,A$4:A44),""))</f>
        <v/>
      </c>
      <c r="BA44" s="178"/>
    </row>
    <row r="45" spans="1:53">
      <c r="A45" s="137">
        <f t="shared" si="21"/>
        <v>41409</v>
      </c>
      <c r="B45" s="138">
        <f t="shared" si="11"/>
        <v>41</v>
      </c>
      <c r="C45" s="139">
        <f>C44+(C44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5" s="139">
        <f t="shared" si="26"/>
        <v>9360</v>
      </c>
      <c r="E45" s="140">
        <f t="shared" si="12"/>
        <v>177840</v>
      </c>
      <c r="F45" s="141"/>
      <c r="G45" s="157">
        <f>IF(Input!$I$7="",0,IF(B45=Input!$I$7,Input!$I$6,IF(B45=Input!$I$7+12,Input!$I$6*(1+annual_incr_proptax),IF(B45=Input!$I$7+24,Input!$I$6*(1+annual_incr_proptax)^2,IF(B45=Input!$I$7+36,Input!$I$6*(1+annual_incr_proptax)^3,IF(B45=Input!$I$7+48,Input!$I$6*(1+annual_incr_proptax)^4,IF(B45=Input!$I$7+60,Input!$I$6*(1+annual_incr_proptax)^5,IF(B45=Input!$I$7+72,Input!$I$6*(1+annual_incr_proptax)^6,IF(B45=Input!$I$7+84,Input!$I$6*(1+annual_incr_proptax)^7,IF(B45=Input!$I$7+96,Input!$I$6*(1+annual_incr_proptax)^8,IF(B45=Input!$I$7+108,Input!$I$6*(1+annual_incr_proptax)^9,IF(B45=Input!$I$7+120,Input!$I$6*(1+annual_incr_proptax)^10,0))))))))))))</f>
        <v>0</v>
      </c>
      <c r="H45" s="139">
        <f>IF(Input!$I$10="",0,IF(B45=Input!$I$10,Input!$I$9,IF(B45=Input!$I$10+12,Input!$I$9*(1+annual_incr_ins),IF(B45=Input!$I$10+24,Input!$I$9*(1+annual_incr_ins)^2,IF(B45=Input!$I$10+36,Input!$I$9*(1+annual_incr_ins)^3,IF(B45=Input!$I$10+48,Input!$I$9*(1+annual_incr_ins)^4,IF(B45=Input!$I$10+60,Input!$I$9*(1+annual_incr_ins)^5,IF(B45=Input!$I$10+72,Input!$I$9*(1+annual_incr_ins)^6,IF(B45=Input!$I$10+84,Input!$I$9*(1+annual_incr_ins)^7,IF(B45=Input!$I$10+96,Input!$I$9*(1+annual_incr_ins)^8,IF(B45=Input!$I$10+108,Input!$I$9*(1+annual_incr_ins)^9,IF(B45=Input!$I$10+120,Input!$I$9*(1+annual_incr_ins)^10,0))))))))))))</f>
        <v>0</v>
      </c>
      <c r="I45" s="139">
        <f>IF(OR(Input!$I$13="",B45&lt;Input!$I$13),0,IF(AND(B45&gt;=Input!$I$13,B45&lt;Input!$I$13+12),Input!$I$12,IF(B45=Input!$I$13+12,Input!$I$12*(1+annual_incr_util),IF(B45=Input!$I$13+24,Input!$I$12*(1+annual_incr_util)^2,IF(B45=Input!$I$13+36,Input!$I$12*(1+annual_incr_util)^3,IF(B45=Input!$I$13+48,Input!$I$12*(1+annual_incr_util)^4,IF(B45=Input!$I$13+60,Input!$I$12*(1+annual_incr_util)^5,IF(B45=Input!$I$13+72,Input!$I$12*(1+annual_incr_util)^6,IF(B45=Input!$I$13+84,Input!$I$12*(1+annual_incr_util)^7,IF(B45=Input!$I$13+96,Input!$I$12*(1+annual_incr_util)^8,IF(B45=Input!$I$13+108,Input!$I$12*(1+annual_incr_util)^9,IF(B45=Input!$I$13+120,Input!$I$12*(1+annual_incr_util)^10,I44))))))))))))</f>
        <v>495.31638515624991</v>
      </c>
      <c r="J45" s="139">
        <f>IF(Input!$I$16="",0,IF(B45=Input!$I$16,Input!$I$15,IF(B45=Input!$I$16+12,Input!$I$15*(1+annual_incr_advtg),IF(B45=Input!$I$16+24,Input!$I$15*(1+annual_incr_advtg)^2,IF(B45=Input!$I$16+36,Input!$I$15*(1+annual_incr_advtg)^3,IF(B45=Input!$I$16+48,Input!$I$15*(1+annual_incr_advtg)^4,IF(B45=Input!$I$16+60,Input!$I$15*(1+annual_incr_advtg)^5,IF(B45=Input!$I$16+72,Input!$I$15*(1+annual_incr_advtg)^6,IF(B45=Input!$I$16+84,Input!$I$15*(1+annual_incr_advtg)^7,IF(B45=Input!$I$16+96,Input!$I$15*(1+annual_incr_advtg)^8,IF(B45=Input!$I$16+108,Input!$I$15*(1+annual_incr_advtg)^9,IF(B45=Input!$I$16+120,Input!$I$15*(1+annual_incr_advtg)^10,0))))))))))))</f>
        <v>0</v>
      </c>
      <c r="K45" s="139">
        <f>IF(Input!$I$19="",0,IF(B45=Input!$I$19,Input!$I$18,IF(B45=Input!$I$19+12,Input!$I$18*(1+annual_incr_other1),IF(B45=Input!$I$19+24,Input!$I$18*(1+annual_incr_other1)^2,IF(B45=Input!$I$19+36,Input!$I$18*(1+annual_incr_other1)^3,IF(B45=Input!$I$19+48,Input!$I$18*(1+annual_incr_other1)^4,IF(B45=Input!$I$19+60,Input!$I$18*(1+annual_incr_other1)^5,IF(B45=Input!$I$19+72,Input!$I$18*(1+annual_incr_other1)^6,IF(B45=Input!$I$19+84,Input!$I$18*(1+annual_incr_other1)^7,IF(B45=Input!$I$19+96,Input!$I$18*(1+annual_incr_other1)^8,IF(B45=Input!$I$19+108,Input!$I$18*(1+annual_incr_other1)^9,IF(B45=Input!$I$19+120,Input!$I$18*(1+annual_incr_other1)^10,0))))))))))))</f>
        <v>5061.8880000000008</v>
      </c>
      <c r="L45" s="156">
        <f>IF(OR(Input!$I$22="",B45&lt;Input!$I$22),0,IF(AND(B45&gt;=Input!$I$22,B45&lt;Input!$I$22+12),Input!$I$21,IF(B45=Input!$I$22+12,Input!$I$21*(1+annual_incr_other2),IF(B45=Input!$I$22+24,Input!$I$21*(1+annual_incr_other2)^2,IF(B45=Input!$I$22+36,Input!$I$21*(1+annual_incr_other2)^3,IF(B45=Input!$I$22+48,Input!$I$21*(1+annual_incr_other2)^4,IF(B45=Input!$I$22+60,Input!$I$21*(1+annual_incr_other2)^5,IF(B45=Input!$I$22+72,Input!$I$21*(1+annual_incr_other2)^6,IF(B45=Input!$I$22+84,Input!$I$21*(1+annual_incr_other2)^7,IF(B45=Input!$I$22+96,Input!$I$21*(1+annual_incr_other2)^8,IF(B45=Input!$I$22+108,Input!$I$21*(1+annual_incr_other2)^9,IF(B45=Input!$I$22+120,Input!$I$21*(1+annual_incr_other2)^10,L44))))))))))))</f>
        <v>592.28984374999993</v>
      </c>
      <c r="M45" s="139">
        <f>IF(OR(Input!$I$27="",B45&lt;Input!$I$27),0,E45*mgmt_fee)</f>
        <v>1600.56</v>
      </c>
      <c r="N45" s="139">
        <f>IF(OR(Input!$I$29="",B45&lt;Input!$I$29),0,E45*repairs_maint)</f>
        <v>1956.2399999999998</v>
      </c>
      <c r="O45" s="149">
        <f>IF(Input!$I$31="",0,IF(OR(B45=Input!$I$31,B45=Input!$I$31+12,B45=Input!$I$31+24,B45=Input!$I$31+36,B45=Input!$I$31+48,B45=Input!$I$31+60,B45=Input!$I$31+72,B45=Input!$I$31+84,B45=Input!$I$31+96,B45=Input!$I$31+108,B45=Input!$I$31+120),E45*other_3,0))</f>
        <v>0</v>
      </c>
      <c r="P45" s="158">
        <f t="shared" si="13"/>
        <v>9706.2942289062503</v>
      </c>
      <c r="Q45" s="159">
        <f t="shared" si="14"/>
        <v>168133.70577109375</v>
      </c>
      <c r="R45" s="160"/>
      <c r="S45" s="161">
        <f>IF(AND(leveraged_property,B45&lt;=amort_period),-IPMT(interest_rate/12,B45,amort_period,loan_amount),0)</f>
        <v>41454.608394116913</v>
      </c>
      <c r="T45" s="149">
        <f t="shared" si="15"/>
        <v>12485.346733848317</v>
      </c>
      <c r="U45" s="149">
        <f>IF(AND(leveraged_property,B45&lt;=amort_period),-PMT(interest_rate/12,amort_period,loan_amount),0)</f>
        <v>53939.95512796523</v>
      </c>
      <c r="V45" s="149">
        <f t="shared" si="37"/>
        <v>9032156.4847098421</v>
      </c>
      <c r="W45" s="160"/>
      <c r="X45" s="149">
        <f t="shared" si="38"/>
        <v>99845.15625</v>
      </c>
      <c r="Y45" s="162">
        <f t="shared" si="39"/>
        <v>23483580.750000007</v>
      </c>
      <c r="Z45" s="156">
        <f t="shared" si="27"/>
        <v>25655204.430380654</v>
      </c>
      <c r="AA45" s="163">
        <f t="shared" ca="1" si="28"/>
        <v>25655204.430380654</v>
      </c>
      <c r="AB45" s="160"/>
      <c r="AC45" s="164">
        <f>Input!$C$25/12</f>
        <v>26538.461538461535</v>
      </c>
      <c r="AD45" s="139">
        <f t="shared" si="29"/>
        <v>100140.6358385153</v>
      </c>
      <c r="AE45" s="149">
        <f t="shared" si="30"/>
        <v>30042.19075155459</v>
      </c>
      <c r="AF45" s="139">
        <f ca="1">IF(AA45=0,0,AA45-(total_initial_cost-SUM($AC$5:AC45)))</f>
        <v>6043281.3534575775</v>
      </c>
      <c r="AG45" s="139">
        <f t="shared" ca="1" si="31"/>
        <v>1208656.2706915156</v>
      </c>
      <c r="AH45" s="149">
        <f t="shared" ca="1" si="19"/>
        <v>24446548.15968914</v>
      </c>
      <c r="AI45" s="103"/>
      <c r="AJ45" s="165">
        <f t="shared" ca="1" si="32"/>
        <v>3746548.1596891396</v>
      </c>
      <c r="AK45" s="165">
        <f t="shared" ca="1" si="22"/>
        <v>4886828.0385141335</v>
      </c>
      <c r="AL45" s="300">
        <f t="shared" ca="1" si="23"/>
        <v>0.43632393201019049</v>
      </c>
      <c r="AM45" s="300">
        <f t="shared" si="24"/>
        <v>0.12021130095896024</v>
      </c>
      <c r="AN45" s="300">
        <f t="shared" si="25"/>
        <v>9.6311402525407611E-2</v>
      </c>
      <c r="AO45" s="301">
        <f>IF(leveraged_property,SUM(Q34:Q45)/SUM(U34:U45),"N/A")</f>
        <v>3.0800390723757594</v>
      </c>
      <c r="AP45" s="103"/>
      <c r="AQ45" s="149">
        <f t="shared" si="20"/>
        <v>114193.75064312853</v>
      </c>
      <c r="AR45" s="149">
        <f t="shared" ca="1" si="33"/>
        <v>16737241.696313942</v>
      </c>
      <c r="AS45" s="288">
        <f ca="1">IF(down_payment&lt;=0,"N/A",IRR(($AQ$4:AQ44,AR45),))</f>
        <v>1.6803035193365169E-2</v>
      </c>
      <c r="AT45" s="290">
        <f t="shared" ca="1" si="34"/>
        <v>0.2213552601952018</v>
      </c>
      <c r="AU45" s="288">
        <f ca="1">IF(down_payment&lt;=0,"N/A",MIRR(($AQ$4:AQ44,AR45),finance_rate,reinvestment_rate))</f>
        <v>1.6575733709980556E-2</v>
      </c>
      <c r="AV45" s="290">
        <f t="shared" ca="1" si="35"/>
        <v>0.21808294752166546</v>
      </c>
      <c r="AW45" s="103"/>
      <c r="AX45" s="152" t="str">
        <f t="shared" si="36"/>
        <v/>
      </c>
      <c r="AY45" s="296" t="str">
        <f>IF(AND(B45=$BA$4,OR(down_payment&lt;=0,purchase_date="")),"N/A",IF(B45=$BA$4,XIRR(AX$4:AX45,A$4:A45),""))</f>
        <v/>
      </c>
      <c r="BA45" s="178"/>
    </row>
    <row r="46" spans="1:53">
      <c r="A46" s="137">
        <f t="shared" si="21"/>
        <v>41440</v>
      </c>
      <c r="B46" s="138">
        <f t="shared" si="11"/>
        <v>42</v>
      </c>
      <c r="C46" s="139">
        <f>C45+(C45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6" s="139">
        <f t="shared" si="26"/>
        <v>9360</v>
      </c>
      <c r="E46" s="140">
        <f t="shared" si="12"/>
        <v>177840</v>
      </c>
      <c r="F46" s="141"/>
      <c r="G46" s="157">
        <f>IF(Input!$I$7="",0,IF(B46=Input!$I$7,Input!$I$6,IF(B46=Input!$I$7+12,Input!$I$6*(1+annual_incr_proptax),IF(B46=Input!$I$7+24,Input!$I$6*(1+annual_incr_proptax)^2,IF(B46=Input!$I$7+36,Input!$I$6*(1+annual_incr_proptax)^3,IF(B46=Input!$I$7+48,Input!$I$6*(1+annual_incr_proptax)^4,IF(B46=Input!$I$7+60,Input!$I$6*(1+annual_incr_proptax)^5,IF(B46=Input!$I$7+72,Input!$I$6*(1+annual_incr_proptax)^6,IF(B46=Input!$I$7+84,Input!$I$6*(1+annual_incr_proptax)^7,IF(B46=Input!$I$7+96,Input!$I$6*(1+annual_incr_proptax)^8,IF(B46=Input!$I$7+108,Input!$I$6*(1+annual_incr_proptax)^9,IF(B46=Input!$I$7+120,Input!$I$6*(1+annual_incr_proptax)^10,0))))))))))))</f>
        <v>0</v>
      </c>
      <c r="H46" s="139">
        <f>IF(Input!$I$10="",0,IF(B46=Input!$I$10,Input!$I$9,IF(B46=Input!$I$10+12,Input!$I$9*(1+annual_incr_ins),IF(B46=Input!$I$10+24,Input!$I$9*(1+annual_incr_ins)^2,IF(B46=Input!$I$10+36,Input!$I$9*(1+annual_incr_ins)^3,IF(B46=Input!$I$10+48,Input!$I$9*(1+annual_incr_ins)^4,IF(B46=Input!$I$10+60,Input!$I$9*(1+annual_incr_ins)^5,IF(B46=Input!$I$10+72,Input!$I$9*(1+annual_incr_ins)^6,IF(B46=Input!$I$10+84,Input!$I$9*(1+annual_incr_ins)^7,IF(B46=Input!$I$10+96,Input!$I$9*(1+annual_incr_ins)^8,IF(B46=Input!$I$10+108,Input!$I$9*(1+annual_incr_ins)^9,IF(B46=Input!$I$10+120,Input!$I$9*(1+annual_incr_ins)^10,0))))))))))))</f>
        <v>13017.474562500001</v>
      </c>
      <c r="I46" s="139">
        <f>IF(OR(Input!$I$13="",B46&lt;Input!$I$13),0,IF(AND(B46&gt;=Input!$I$13,B46&lt;Input!$I$13+12),Input!$I$12,IF(B46=Input!$I$13+12,Input!$I$12*(1+annual_incr_util),IF(B46=Input!$I$13+24,Input!$I$12*(1+annual_incr_util)^2,IF(B46=Input!$I$13+36,Input!$I$12*(1+annual_incr_util)^3,IF(B46=Input!$I$13+48,Input!$I$12*(1+annual_incr_util)^4,IF(B46=Input!$I$13+60,Input!$I$12*(1+annual_incr_util)^5,IF(B46=Input!$I$13+72,Input!$I$12*(1+annual_incr_util)^6,IF(B46=Input!$I$13+84,Input!$I$12*(1+annual_incr_util)^7,IF(B46=Input!$I$13+96,Input!$I$12*(1+annual_incr_util)^8,IF(B46=Input!$I$13+108,Input!$I$12*(1+annual_incr_util)^9,IF(B46=Input!$I$13+120,Input!$I$12*(1+annual_incr_util)^10,I45))))))))))))</f>
        <v>495.31638515624991</v>
      </c>
      <c r="J46" s="139">
        <f>IF(Input!$I$16="",0,IF(B46=Input!$I$16,Input!$I$15,IF(B46=Input!$I$16+12,Input!$I$15*(1+annual_incr_advtg),IF(B46=Input!$I$16+24,Input!$I$15*(1+annual_incr_advtg)^2,IF(B46=Input!$I$16+36,Input!$I$15*(1+annual_incr_advtg)^3,IF(B46=Input!$I$16+48,Input!$I$15*(1+annual_incr_advtg)^4,IF(B46=Input!$I$16+60,Input!$I$15*(1+annual_incr_advtg)^5,IF(B46=Input!$I$16+72,Input!$I$15*(1+annual_incr_advtg)^6,IF(B46=Input!$I$16+84,Input!$I$15*(1+annual_incr_advtg)^7,IF(B46=Input!$I$16+96,Input!$I$15*(1+annual_incr_advtg)^8,IF(B46=Input!$I$16+108,Input!$I$15*(1+annual_incr_advtg)^9,IF(B46=Input!$I$16+120,Input!$I$15*(1+annual_incr_advtg)^10,0))))))))))))</f>
        <v>0</v>
      </c>
      <c r="K46" s="139">
        <f>IF(Input!$I$19="",0,IF(B46=Input!$I$19,Input!$I$18,IF(B46=Input!$I$19+12,Input!$I$18*(1+annual_incr_other1),IF(B46=Input!$I$19+24,Input!$I$18*(1+annual_incr_other1)^2,IF(B46=Input!$I$19+36,Input!$I$18*(1+annual_incr_other1)^3,IF(B46=Input!$I$19+48,Input!$I$18*(1+annual_incr_other1)^4,IF(B46=Input!$I$19+60,Input!$I$18*(1+annual_incr_other1)^5,IF(B46=Input!$I$19+72,Input!$I$18*(1+annual_incr_other1)^6,IF(B46=Input!$I$19+84,Input!$I$18*(1+annual_incr_other1)^7,IF(B46=Input!$I$19+96,Input!$I$18*(1+annual_incr_other1)^8,IF(B46=Input!$I$19+108,Input!$I$18*(1+annual_incr_other1)^9,IF(B46=Input!$I$19+120,Input!$I$18*(1+annual_incr_other1)^10,0))))))))))))</f>
        <v>0</v>
      </c>
      <c r="L46" s="156">
        <f>IF(OR(Input!$I$22="",B46&lt;Input!$I$22),0,IF(AND(B46&gt;=Input!$I$22,B46&lt;Input!$I$22+12),Input!$I$21,IF(B46=Input!$I$22+12,Input!$I$21*(1+annual_incr_other2),IF(B46=Input!$I$22+24,Input!$I$21*(1+annual_incr_other2)^2,IF(B46=Input!$I$22+36,Input!$I$21*(1+annual_incr_other2)^3,IF(B46=Input!$I$22+48,Input!$I$21*(1+annual_incr_other2)^4,IF(B46=Input!$I$22+60,Input!$I$21*(1+annual_incr_other2)^5,IF(B46=Input!$I$22+72,Input!$I$21*(1+annual_incr_other2)^6,IF(B46=Input!$I$22+84,Input!$I$21*(1+annual_incr_other2)^7,IF(B46=Input!$I$22+96,Input!$I$21*(1+annual_incr_other2)^8,IF(B46=Input!$I$22+108,Input!$I$21*(1+annual_incr_other2)^9,IF(B46=Input!$I$22+120,Input!$I$21*(1+annual_incr_other2)^10,L45))))))))))))</f>
        <v>592.28984374999993</v>
      </c>
      <c r="M46" s="139">
        <f>IF(OR(Input!$I$27="",B46&lt;Input!$I$27),0,E46*mgmt_fee)</f>
        <v>1600.56</v>
      </c>
      <c r="N46" s="139">
        <f>IF(OR(Input!$I$29="",B46&lt;Input!$I$29),0,E46*repairs_maint)</f>
        <v>1956.2399999999998</v>
      </c>
      <c r="O46" s="149">
        <f>IF(Input!$I$31="",0,IF(OR(B46=Input!$I$31,B46=Input!$I$31+12,B46=Input!$I$31+24,B46=Input!$I$31+36,B46=Input!$I$31+48,B46=Input!$I$31+60,B46=Input!$I$31+72,B46=Input!$I$31+84,B46=Input!$I$31+96,B46=Input!$I$31+108,B46=Input!$I$31+120),E46*other_3,0))</f>
        <v>0</v>
      </c>
      <c r="P46" s="158">
        <f t="shared" si="13"/>
        <v>17661.880791406249</v>
      </c>
      <c r="Q46" s="159">
        <f t="shared" si="14"/>
        <v>160178.11920859374</v>
      </c>
      <c r="R46" s="160"/>
      <c r="S46" s="161">
        <f>IF(AND(leveraged_property,B46&lt;=amort_period),-IPMT(interest_rate/12,B46,amort_period,loan_amount),0)</f>
        <v>41397.383888253433</v>
      </c>
      <c r="T46" s="149">
        <f t="shared" si="15"/>
        <v>12542.571239711797</v>
      </c>
      <c r="U46" s="149">
        <f>IF(AND(leveraged_property,B46&lt;=amort_period),-PMT(interest_rate/12,amort_period,loan_amount),0)</f>
        <v>53939.95512796523</v>
      </c>
      <c r="V46" s="149">
        <f t="shared" si="37"/>
        <v>9019613.9134701304</v>
      </c>
      <c r="W46" s="160"/>
      <c r="X46" s="149">
        <f t="shared" si="38"/>
        <v>99845.15625</v>
      </c>
      <c r="Y46" s="162">
        <f t="shared" si="39"/>
        <v>23579432.100000009</v>
      </c>
      <c r="Z46" s="156">
        <f t="shared" si="27"/>
        <v>26006075.531431701</v>
      </c>
      <c r="AA46" s="163">
        <f t="shared" ca="1" si="28"/>
        <v>26006075.531431701</v>
      </c>
      <c r="AB46" s="160"/>
      <c r="AC46" s="164">
        <f>Input!$C$25/12</f>
        <v>26538.461538461535</v>
      </c>
      <c r="AD46" s="139">
        <f t="shared" si="29"/>
        <v>92242.273781878772</v>
      </c>
      <c r="AE46" s="149">
        <f t="shared" si="30"/>
        <v>27672.682134563631</v>
      </c>
      <c r="AF46" s="139">
        <f ca="1">IF(AA46=0,0,AA46-(total_initial_cost-SUM($AC$5:AC46)))</f>
        <v>6420690.9160470851</v>
      </c>
      <c r="AG46" s="139">
        <f t="shared" ca="1" si="31"/>
        <v>1284138.1832094172</v>
      </c>
      <c r="AH46" s="149">
        <f t="shared" ca="1" si="19"/>
        <v>24721937.348222286</v>
      </c>
      <c r="AI46" s="103"/>
      <c r="AJ46" s="165">
        <f t="shared" ca="1" si="32"/>
        <v>4021937.3482222855</v>
      </c>
      <c r="AK46" s="165">
        <f t="shared" ca="1" si="22"/>
        <v>5162421.1267518168</v>
      </c>
      <c r="AL46" s="300">
        <f t="shared" ca="1" si="23"/>
        <v>0.46093045774569791</v>
      </c>
      <c r="AM46" s="300">
        <f t="shared" si="24"/>
        <v>0.12017751196530793</v>
      </c>
      <c r="AN46" s="300">
        <f t="shared" si="25"/>
        <v>9.6293120557827613E-2</v>
      </c>
      <c r="AO46" s="301">
        <f>IF(leveraged_property,SUM(Q35:Q46)/SUM(U35:U46),"N/A")</f>
        <v>3.0794544149728997</v>
      </c>
      <c r="AP46" s="103"/>
      <c r="AQ46" s="149">
        <f t="shared" si="20"/>
        <v>106238.16408062851</v>
      </c>
      <c r="AR46" s="149">
        <f t="shared" ca="1" si="33"/>
        <v>17092699.782042198</v>
      </c>
      <c r="AS46" s="288">
        <f ca="1">IF(down_payment&lt;=0,"N/A",IRR(($AQ$4:AQ45,AR46),))</f>
        <v>1.7037116728708408E-2</v>
      </c>
      <c r="AT46" s="290">
        <f t="shared" ca="1" si="34"/>
        <v>0.22473360165013112</v>
      </c>
      <c r="AU46" s="288">
        <f ca="1">IF(down_payment&lt;=0,"N/A",MIRR(($AQ$4:AQ45,AR46),finance_rate,reinvestment_rate))</f>
        <v>1.6776092241400198E-2</v>
      </c>
      <c r="AV46" s="290">
        <f t="shared" ca="1" si="35"/>
        <v>0.22096695937834054</v>
      </c>
      <c r="AW46" s="103"/>
      <c r="AX46" s="152" t="str">
        <f t="shared" si="36"/>
        <v/>
      </c>
      <c r="AY46" s="296" t="str">
        <f>IF(AND(B46=$BA$4,OR(down_payment&lt;=0,purchase_date="")),"N/A",IF(B46=$BA$4,XIRR(AX$4:AX46,A$4:A46),""))</f>
        <v/>
      </c>
      <c r="BA46" s="178"/>
    </row>
    <row r="47" spans="1:53">
      <c r="A47" s="137">
        <f t="shared" si="21"/>
        <v>41470</v>
      </c>
      <c r="B47" s="138">
        <f t="shared" si="11"/>
        <v>43</v>
      </c>
      <c r="C47" s="139">
        <f>C46+(C46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7" s="139">
        <f t="shared" si="26"/>
        <v>9360</v>
      </c>
      <c r="E47" s="140">
        <f t="shared" si="12"/>
        <v>177840</v>
      </c>
      <c r="F47" s="141"/>
      <c r="G47" s="157">
        <f>IF(Input!$I$7="",0,IF(B47=Input!$I$7,Input!$I$6,IF(B47=Input!$I$7+12,Input!$I$6*(1+annual_incr_proptax),IF(B47=Input!$I$7+24,Input!$I$6*(1+annual_incr_proptax)^2,IF(B47=Input!$I$7+36,Input!$I$6*(1+annual_incr_proptax)^3,IF(B47=Input!$I$7+48,Input!$I$6*(1+annual_incr_proptax)^4,IF(B47=Input!$I$7+60,Input!$I$6*(1+annual_incr_proptax)^5,IF(B47=Input!$I$7+72,Input!$I$6*(1+annual_incr_proptax)^6,IF(B47=Input!$I$7+84,Input!$I$6*(1+annual_incr_proptax)^7,IF(B47=Input!$I$7+96,Input!$I$6*(1+annual_incr_proptax)^8,IF(B47=Input!$I$7+108,Input!$I$6*(1+annual_incr_proptax)^9,IF(B47=Input!$I$7+120,Input!$I$6*(1+annual_incr_proptax)^10,0))))))))))))</f>
        <v>0</v>
      </c>
      <c r="H47" s="139">
        <f>IF(Input!$I$10="",0,IF(B47=Input!$I$10,Input!$I$9,IF(B47=Input!$I$10+12,Input!$I$9*(1+annual_incr_ins),IF(B47=Input!$I$10+24,Input!$I$9*(1+annual_incr_ins)^2,IF(B47=Input!$I$10+36,Input!$I$9*(1+annual_incr_ins)^3,IF(B47=Input!$I$10+48,Input!$I$9*(1+annual_incr_ins)^4,IF(B47=Input!$I$10+60,Input!$I$9*(1+annual_incr_ins)^5,IF(B47=Input!$I$10+72,Input!$I$9*(1+annual_incr_ins)^6,IF(B47=Input!$I$10+84,Input!$I$9*(1+annual_incr_ins)^7,IF(B47=Input!$I$10+96,Input!$I$9*(1+annual_incr_ins)^8,IF(B47=Input!$I$10+108,Input!$I$9*(1+annual_incr_ins)^9,IF(B47=Input!$I$10+120,Input!$I$9*(1+annual_incr_ins)^10,0))))))))))))</f>
        <v>0</v>
      </c>
      <c r="I47" s="139">
        <f>IF(OR(Input!$I$13="",B47&lt;Input!$I$13),0,IF(AND(B47&gt;=Input!$I$13,B47&lt;Input!$I$13+12),Input!$I$12,IF(B47=Input!$I$13+12,Input!$I$12*(1+annual_incr_util),IF(B47=Input!$I$13+24,Input!$I$12*(1+annual_incr_util)^2,IF(B47=Input!$I$13+36,Input!$I$12*(1+annual_incr_util)^3,IF(B47=Input!$I$13+48,Input!$I$12*(1+annual_incr_util)^4,IF(B47=Input!$I$13+60,Input!$I$12*(1+annual_incr_util)^5,IF(B47=Input!$I$13+72,Input!$I$12*(1+annual_incr_util)^6,IF(B47=Input!$I$13+84,Input!$I$12*(1+annual_incr_util)^7,IF(B47=Input!$I$13+96,Input!$I$12*(1+annual_incr_util)^8,IF(B47=Input!$I$13+108,Input!$I$12*(1+annual_incr_util)^9,IF(B47=Input!$I$13+120,Input!$I$12*(1+annual_incr_util)^10,I46))))))))))))</f>
        <v>495.31638515624991</v>
      </c>
      <c r="J47" s="139">
        <f>IF(Input!$I$16="",0,IF(B47=Input!$I$16,Input!$I$15,IF(B47=Input!$I$16+12,Input!$I$15*(1+annual_incr_advtg),IF(B47=Input!$I$16+24,Input!$I$15*(1+annual_incr_advtg)^2,IF(B47=Input!$I$16+36,Input!$I$15*(1+annual_incr_advtg)^3,IF(B47=Input!$I$16+48,Input!$I$15*(1+annual_incr_advtg)^4,IF(B47=Input!$I$16+60,Input!$I$15*(1+annual_incr_advtg)^5,IF(B47=Input!$I$16+72,Input!$I$15*(1+annual_incr_advtg)^6,IF(B47=Input!$I$16+84,Input!$I$15*(1+annual_incr_advtg)^7,IF(B47=Input!$I$16+96,Input!$I$15*(1+annual_incr_advtg)^8,IF(B47=Input!$I$16+108,Input!$I$15*(1+annual_incr_advtg)^9,IF(B47=Input!$I$16+120,Input!$I$15*(1+annual_incr_advtg)^10,0))))))))))))</f>
        <v>13569.1599740245</v>
      </c>
      <c r="K47" s="139">
        <f>IF(Input!$I$19="",0,IF(B47=Input!$I$19,Input!$I$18,IF(B47=Input!$I$19+12,Input!$I$18*(1+annual_incr_other1),IF(B47=Input!$I$19+24,Input!$I$18*(1+annual_incr_other1)^2,IF(B47=Input!$I$19+36,Input!$I$18*(1+annual_incr_other1)^3,IF(B47=Input!$I$19+48,Input!$I$18*(1+annual_incr_other1)^4,IF(B47=Input!$I$19+60,Input!$I$18*(1+annual_incr_other1)^5,IF(B47=Input!$I$19+72,Input!$I$18*(1+annual_incr_other1)^6,IF(B47=Input!$I$19+84,Input!$I$18*(1+annual_incr_other1)^7,IF(B47=Input!$I$19+96,Input!$I$18*(1+annual_incr_other1)^8,IF(B47=Input!$I$19+108,Input!$I$18*(1+annual_incr_other1)^9,IF(B47=Input!$I$19+120,Input!$I$18*(1+annual_incr_other1)^10,0))))))))))))</f>
        <v>0</v>
      </c>
      <c r="L47" s="156">
        <f>IF(OR(Input!$I$22="",B47&lt;Input!$I$22),0,IF(AND(B47&gt;=Input!$I$22,B47&lt;Input!$I$22+12),Input!$I$21,IF(B47=Input!$I$22+12,Input!$I$21*(1+annual_incr_other2),IF(B47=Input!$I$22+24,Input!$I$21*(1+annual_incr_other2)^2,IF(B47=Input!$I$22+36,Input!$I$21*(1+annual_incr_other2)^3,IF(B47=Input!$I$22+48,Input!$I$21*(1+annual_incr_other2)^4,IF(B47=Input!$I$22+60,Input!$I$21*(1+annual_incr_other2)^5,IF(B47=Input!$I$22+72,Input!$I$21*(1+annual_incr_other2)^6,IF(B47=Input!$I$22+84,Input!$I$21*(1+annual_incr_other2)^7,IF(B47=Input!$I$22+96,Input!$I$21*(1+annual_incr_other2)^8,IF(B47=Input!$I$22+108,Input!$I$21*(1+annual_incr_other2)^9,IF(B47=Input!$I$22+120,Input!$I$21*(1+annual_incr_other2)^10,L46))))))))))))</f>
        <v>592.28984374999993</v>
      </c>
      <c r="M47" s="139">
        <f>IF(OR(Input!$I$27="",B47&lt;Input!$I$27),0,E47*mgmt_fee)</f>
        <v>1600.56</v>
      </c>
      <c r="N47" s="139">
        <f>IF(OR(Input!$I$29="",B47&lt;Input!$I$29),0,E47*repairs_maint)</f>
        <v>1956.2399999999998</v>
      </c>
      <c r="O47" s="149">
        <f>IF(Input!$I$31="",0,IF(OR(B47=Input!$I$31,B47=Input!$I$31+12,B47=Input!$I$31+24,B47=Input!$I$31+36,B47=Input!$I$31+48,B47=Input!$I$31+60,B47=Input!$I$31+72,B47=Input!$I$31+84,B47=Input!$I$31+96,B47=Input!$I$31+108,B47=Input!$I$31+120),E47*other_3,0))</f>
        <v>0</v>
      </c>
      <c r="P47" s="158">
        <f t="shared" si="13"/>
        <v>18213.56620293075</v>
      </c>
      <c r="Q47" s="159">
        <f t="shared" si="14"/>
        <v>159626.43379706924</v>
      </c>
      <c r="R47" s="160"/>
      <c r="S47" s="161">
        <f>IF(AND(leveraged_property,B47&lt;=amort_period),-IPMT(interest_rate/12,B47,amort_period,loan_amount),0)</f>
        <v>41339.89710340475</v>
      </c>
      <c r="T47" s="149">
        <f t="shared" si="15"/>
        <v>12600.05802456048</v>
      </c>
      <c r="U47" s="149">
        <f>IF(AND(leveraged_property,B47&lt;=amort_period),-PMT(interest_rate/12,amort_period,loan_amount),0)</f>
        <v>53939.95512796523</v>
      </c>
      <c r="V47" s="149">
        <f t="shared" si="37"/>
        <v>9007013.8554455694</v>
      </c>
      <c r="W47" s="160"/>
      <c r="X47" s="149">
        <f t="shared" si="38"/>
        <v>99845.15625</v>
      </c>
      <c r="Y47" s="162">
        <f t="shared" si="39"/>
        <v>23675283.45000001</v>
      </c>
      <c r="Z47" s="156">
        <f t="shared" si="27"/>
        <v>26352009.942642033</v>
      </c>
      <c r="AA47" s="163">
        <f t="shared" ca="1" si="28"/>
        <v>26352009.942642033</v>
      </c>
      <c r="AB47" s="160"/>
      <c r="AC47" s="164">
        <f>Input!$C$25/12</f>
        <v>26538.461538461535</v>
      </c>
      <c r="AD47" s="139">
        <f t="shared" si="29"/>
        <v>91748.075155202969</v>
      </c>
      <c r="AE47" s="149">
        <f t="shared" si="30"/>
        <v>27524.422546560891</v>
      </c>
      <c r="AF47" s="139">
        <f ca="1">IF(AA47=0,0,AA47-(total_initial_cost-SUM($AC$5:AC47)))</f>
        <v>6793163.7887958772</v>
      </c>
      <c r="AG47" s="139">
        <f t="shared" ca="1" si="31"/>
        <v>1358632.7577591755</v>
      </c>
      <c r="AH47" s="149">
        <f t="shared" ca="1" si="19"/>
        <v>24993377.184882857</v>
      </c>
      <c r="AI47" s="103"/>
      <c r="AJ47" s="165">
        <f t="shared" ca="1" si="32"/>
        <v>4293377.1848828569</v>
      </c>
      <c r="AK47" s="165">
        <f t="shared" ca="1" si="22"/>
        <v>5433801.2293848423</v>
      </c>
      <c r="AL47" s="300">
        <f t="shared" ca="1" si="23"/>
        <v>0.48516082405221805</v>
      </c>
      <c r="AM47" s="300">
        <f t="shared" si="24"/>
        <v>0.12010982215232303</v>
      </c>
      <c r="AN47" s="300">
        <f t="shared" si="25"/>
        <v>9.6256496117951729E-2</v>
      </c>
      <c r="AO47" s="301">
        <f>IF(leveraged_property,SUM(Q36:Q47)/SUM(U36:U47),"N/A")</f>
        <v>3.078283165226102</v>
      </c>
      <c r="AP47" s="103"/>
      <c r="AQ47" s="149">
        <f t="shared" si="20"/>
        <v>105686.47866910402</v>
      </c>
      <c r="AR47" s="149">
        <f t="shared" ca="1" si="33"/>
        <v>17450682.565865569</v>
      </c>
      <c r="AS47" s="288">
        <f ca="1">IF(down_payment&lt;=0,"N/A",IRR(($AQ$4:AQ46,AR47),))</f>
        <v>1.7242343499101673E-2</v>
      </c>
      <c r="AT47" s="290">
        <f t="shared" ca="1" si="34"/>
        <v>0.22770254657219202</v>
      </c>
      <c r="AU47" s="288">
        <f ca="1">IF(down_payment&lt;=0,"N/A",MIRR(($AQ$4:AQ46,AR47),finance_rate,reinvestment_rate))</f>
        <v>1.6950369275741783E-2</v>
      </c>
      <c r="AV47" s="290">
        <f t="shared" ca="1" si="35"/>
        <v>0.22348063623612902</v>
      </c>
      <c r="AW47" s="103"/>
      <c r="AX47" s="152" t="str">
        <f t="shared" si="36"/>
        <v/>
      </c>
      <c r="AY47" s="296" t="str">
        <f>IF(AND(B47=$BA$4,OR(down_payment&lt;=0,purchase_date="")),"N/A",IF(B47=$BA$4,XIRR(AX$4:AX47,A$4:A47),""))</f>
        <v/>
      </c>
      <c r="BA47" s="178"/>
    </row>
    <row r="48" spans="1:53">
      <c r="A48" s="137">
        <f t="shared" si="21"/>
        <v>41501</v>
      </c>
      <c r="B48" s="138">
        <f t="shared" si="11"/>
        <v>44</v>
      </c>
      <c r="C48" s="139">
        <f>C47+(C47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8" s="139">
        <f t="shared" si="26"/>
        <v>9360</v>
      </c>
      <c r="E48" s="140">
        <f t="shared" si="12"/>
        <v>177840</v>
      </c>
      <c r="F48" s="141"/>
      <c r="G48" s="157">
        <f>IF(Input!$I$7="",0,IF(B48=Input!$I$7,Input!$I$6,IF(B48=Input!$I$7+12,Input!$I$6*(1+annual_incr_proptax),IF(B48=Input!$I$7+24,Input!$I$6*(1+annual_incr_proptax)^2,IF(B48=Input!$I$7+36,Input!$I$6*(1+annual_incr_proptax)^3,IF(B48=Input!$I$7+48,Input!$I$6*(1+annual_incr_proptax)^4,IF(B48=Input!$I$7+60,Input!$I$6*(1+annual_incr_proptax)^5,IF(B48=Input!$I$7+72,Input!$I$6*(1+annual_incr_proptax)^6,IF(B48=Input!$I$7+84,Input!$I$6*(1+annual_incr_proptax)^7,IF(B48=Input!$I$7+96,Input!$I$6*(1+annual_incr_proptax)^8,IF(B48=Input!$I$7+108,Input!$I$6*(1+annual_incr_proptax)^9,IF(B48=Input!$I$7+120,Input!$I$6*(1+annual_incr_proptax)^10,0))))))))))))</f>
        <v>0</v>
      </c>
      <c r="H48" s="139">
        <f>IF(Input!$I$10="",0,IF(B48=Input!$I$10,Input!$I$9,IF(B48=Input!$I$10+12,Input!$I$9*(1+annual_incr_ins),IF(B48=Input!$I$10+24,Input!$I$9*(1+annual_incr_ins)^2,IF(B48=Input!$I$10+36,Input!$I$9*(1+annual_incr_ins)^3,IF(B48=Input!$I$10+48,Input!$I$9*(1+annual_incr_ins)^4,IF(B48=Input!$I$10+60,Input!$I$9*(1+annual_incr_ins)^5,IF(B48=Input!$I$10+72,Input!$I$9*(1+annual_incr_ins)^6,IF(B48=Input!$I$10+84,Input!$I$9*(1+annual_incr_ins)^7,IF(B48=Input!$I$10+96,Input!$I$9*(1+annual_incr_ins)^8,IF(B48=Input!$I$10+108,Input!$I$9*(1+annual_incr_ins)^9,IF(B48=Input!$I$10+120,Input!$I$9*(1+annual_incr_ins)^10,0))))))))))))</f>
        <v>0</v>
      </c>
      <c r="I48" s="139">
        <f>IF(OR(Input!$I$13="",B48&lt;Input!$I$13),0,IF(AND(B48&gt;=Input!$I$13,B48&lt;Input!$I$13+12),Input!$I$12,IF(B48=Input!$I$13+12,Input!$I$12*(1+annual_incr_util),IF(B48=Input!$I$13+24,Input!$I$12*(1+annual_incr_util)^2,IF(B48=Input!$I$13+36,Input!$I$12*(1+annual_incr_util)^3,IF(B48=Input!$I$13+48,Input!$I$12*(1+annual_incr_util)^4,IF(B48=Input!$I$13+60,Input!$I$12*(1+annual_incr_util)^5,IF(B48=Input!$I$13+72,Input!$I$12*(1+annual_incr_util)^6,IF(B48=Input!$I$13+84,Input!$I$12*(1+annual_incr_util)^7,IF(B48=Input!$I$13+96,Input!$I$12*(1+annual_incr_util)^8,IF(B48=Input!$I$13+108,Input!$I$12*(1+annual_incr_util)^9,IF(B48=Input!$I$13+120,Input!$I$12*(1+annual_incr_util)^10,I47))))))))))))</f>
        <v>495.31638515624991</v>
      </c>
      <c r="J48" s="139">
        <f>IF(Input!$I$16="",0,IF(B48=Input!$I$16,Input!$I$15,IF(B48=Input!$I$16+12,Input!$I$15*(1+annual_incr_advtg),IF(B48=Input!$I$16+24,Input!$I$15*(1+annual_incr_advtg)^2,IF(B48=Input!$I$16+36,Input!$I$15*(1+annual_incr_advtg)^3,IF(B48=Input!$I$16+48,Input!$I$15*(1+annual_incr_advtg)^4,IF(B48=Input!$I$16+60,Input!$I$15*(1+annual_incr_advtg)^5,IF(B48=Input!$I$16+72,Input!$I$15*(1+annual_incr_advtg)^6,IF(B48=Input!$I$16+84,Input!$I$15*(1+annual_incr_advtg)^7,IF(B48=Input!$I$16+96,Input!$I$15*(1+annual_incr_advtg)^8,IF(B48=Input!$I$16+108,Input!$I$15*(1+annual_incr_advtg)^9,IF(B48=Input!$I$16+120,Input!$I$15*(1+annual_incr_advtg)^10,0))))))))))))</f>
        <v>0</v>
      </c>
      <c r="K48" s="139">
        <f>IF(Input!$I$19="",0,IF(B48=Input!$I$19,Input!$I$18,IF(B48=Input!$I$19+12,Input!$I$18*(1+annual_incr_other1),IF(B48=Input!$I$19+24,Input!$I$18*(1+annual_incr_other1)^2,IF(B48=Input!$I$19+36,Input!$I$18*(1+annual_incr_other1)^3,IF(B48=Input!$I$19+48,Input!$I$18*(1+annual_incr_other1)^4,IF(B48=Input!$I$19+60,Input!$I$18*(1+annual_incr_other1)^5,IF(B48=Input!$I$19+72,Input!$I$18*(1+annual_incr_other1)^6,IF(B48=Input!$I$19+84,Input!$I$18*(1+annual_incr_other1)^7,IF(B48=Input!$I$19+96,Input!$I$18*(1+annual_incr_other1)^8,IF(B48=Input!$I$19+108,Input!$I$18*(1+annual_incr_other1)^9,IF(B48=Input!$I$19+120,Input!$I$18*(1+annual_incr_other1)^10,0))))))))))))</f>
        <v>0</v>
      </c>
      <c r="L48" s="156">
        <f>IF(OR(Input!$I$22="",B48&lt;Input!$I$22),0,IF(AND(B48&gt;=Input!$I$22,B48&lt;Input!$I$22+12),Input!$I$21,IF(B48=Input!$I$22+12,Input!$I$21*(1+annual_incr_other2),IF(B48=Input!$I$22+24,Input!$I$21*(1+annual_incr_other2)^2,IF(B48=Input!$I$22+36,Input!$I$21*(1+annual_incr_other2)^3,IF(B48=Input!$I$22+48,Input!$I$21*(1+annual_incr_other2)^4,IF(B48=Input!$I$22+60,Input!$I$21*(1+annual_incr_other2)^5,IF(B48=Input!$I$22+72,Input!$I$21*(1+annual_incr_other2)^6,IF(B48=Input!$I$22+84,Input!$I$21*(1+annual_incr_other2)^7,IF(B48=Input!$I$22+96,Input!$I$21*(1+annual_incr_other2)^8,IF(B48=Input!$I$22+108,Input!$I$21*(1+annual_incr_other2)^9,IF(B48=Input!$I$22+120,Input!$I$21*(1+annual_incr_other2)^10,L47))))))))))))</f>
        <v>592.28984374999993</v>
      </c>
      <c r="M48" s="139">
        <f>IF(OR(Input!$I$27="",B48&lt;Input!$I$27),0,E48*mgmt_fee)</f>
        <v>1600.56</v>
      </c>
      <c r="N48" s="139">
        <f>IF(OR(Input!$I$29="",B48&lt;Input!$I$29),0,E48*repairs_maint)</f>
        <v>1956.2399999999998</v>
      </c>
      <c r="O48" s="149">
        <f>IF(Input!$I$31="",0,IF(OR(B48=Input!$I$31,B48=Input!$I$31+12,B48=Input!$I$31+24,B48=Input!$I$31+36,B48=Input!$I$31+48,B48=Input!$I$31+60,B48=Input!$I$31+72,B48=Input!$I$31+84,B48=Input!$I$31+96,B48=Input!$I$31+108,B48=Input!$I$31+120),E48*other_3,0))</f>
        <v>0</v>
      </c>
      <c r="P48" s="158">
        <f t="shared" si="13"/>
        <v>4644.4062289062495</v>
      </c>
      <c r="Q48" s="159">
        <f t="shared" si="14"/>
        <v>173195.59377109376</v>
      </c>
      <c r="R48" s="160"/>
      <c r="S48" s="161">
        <f>IF(AND(leveraged_property,B48&lt;=amort_period),-IPMT(interest_rate/12,B48,amort_period,loan_amount),0)</f>
        <v>41282.146837458851</v>
      </c>
      <c r="T48" s="149">
        <f t="shared" si="15"/>
        <v>12657.808290506378</v>
      </c>
      <c r="U48" s="149">
        <f>IF(AND(leveraged_property,B48&lt;=amort_period),-PMT(interest_rate/12,amort_period,loan_amount),0)</f>
        <v>53939.95512796523</v>
      </c>
      <c r="V48" s="149">
        <f t="shared" si="37"/>
        <v>8994356.0471550636</v>
      </c>
      <c r="W48" s="160"/>
      <c r="X48" s="149">
        <f t="shared" si="38"/>
        <v>99845.15625</v>
      </c>
      <c r="Y48" s="162">
        <f t="shared" si="39"/>
        <v>23771134.800000012</v>
      </c>
      <c r="Z48" s="156">
        <f t="shared" si="27"/>
        <v>26707176.810298692</v>
      </c>
      <c r="AA48" s="163">
        <f t="shared" ca="1" si="28"/>
        <v>26707176.810298692</v>
      </c>
      <c r="AB48" s="160"/>
      <c r="AC48" s="164">
        <f>Input!$C$25/12</f>
        <v>26538.461538461535</v>
      </c>
      <c r="AD48" s="139">
        <f t="shared" si="29"/>
        <v>105374.98539517337</v>
      </c>
      <c r="AE48" s="149">
        <f t="shared" si="30"/>
        <v>31612.49561855201</v>
      </c>
      <c r="AF48" s="139">
        <f ca="1">IF(AA48=0,0,AA48-(total_initial_cost-SUM($AC$5:AC48)))</f>
        <v>7174869.1179910004</v>
      </c>
      <c r="AG48" s="139">
        <f t="shared" ca="1" si="31"/>
        <v>1434973.8235982002</v>
      </c>
      <c r="AH48" s="149">
        <f t="shared" ca="1" si="19"/>
        <v>25272202.986700494</v>
      </c>
      <c r="AI48" s="103"/>
      <c r="AJ48" s="165">
        <f t="shared" ca="1" si="32"/>
        <v>4572202.9867004938</v>
      </c>
      <c r="AK48" s="165">
        <f t="shared" ref="AK48:AK79" ca="1" si="40">SUM(Q37:Q48)-SUM(S37:S48)-SUM(AE37:AE48)+AJ48</f>
        <v>5713079.1178319044</v>
      </c>
      <c r="AL48" s="300">
        <f t="shared" ref="AL48:AL79" ca="1" si="41">IF(down_payment&lt;=0,"N/A",AK48/down_payment)</f>
        <v>0.51009634980642005</v>
      </c>
      <c r="AM48" s="300">
        <f t="shared" ref="AM48:AM79" si="42">IF(down_payment&lt;=0,"N/A",(SUM(Q37:Q48)-SUM(U37:U48))/down_payment)</f>
        <v>0.12010714026246534</v>
      </c>
      <c r="AN48" s="300">
        <f t="shared" ref="AN48:AN79" si="43">IF(total_initial_cost&lt;=0,"N/A",SUM(Q37:Q48)/total_initial_cost)</f>
        <v>9.6255045047110854E-2</v>
      </c>
      <c r="AO48" s="301">
        <f>IF(leveraged_property,SUM(Q37:Q48)/SUM(U37:U48),"N/A")</f>
        <v>3.0782367599742888</v>
      </c>
      <c r="AP48" s="103"/>
      <c r="AQ48" s="149">
        <f t="shared" si="20"/>
        <v>119255.63864312854</v>
      </c>
      <c r="AR48" s="149">
        <f t="shared" ca="1" si="33"/>
        <v>17832076.401786756</v>
      </c>
      <c r="AS48" s="288">
        <f ca="1">IF(down_payment&lt;=0,"N/A",IRR(($AQ$4:AQ47,AR48),))</f>
        <v>1.7453140438662529E-2</v>
      </c>
      <c r="AT48" s="290">
        <f t="shared" ca="1" si="34"/>
        <v>0.23075894039486089</v>
      </c>
      <c r="AU48" s="288">
        <f ca="1">IF(down_payment&lt;=0,"N/A",MIRR(($AQ$4:AQ47,AR48),finance_rate,reinvestment_rate))</f>
        <v>1.7128870983668998E-2</v>
      </c>
      <c r="AV48" s="290">
        <f t="shared" ca="1" si="35"/>
        <v>0.22606016439249377</v>
      </c>
      <c r="AW48" s="103"/>
      <c r="AX48" s="152" t="str">
        <f t="shared" si="36"/>
        <v/>
      </c>
      <c r="AY48" s="296" t="str">
        <f>IF(AND(B48=$BA$4,OR(down_payment&lt;=0,purchase_date="")),"N/A",IF(B48=$BA$4,XIRR(AX$4:AX48,A$4:A48),""))</f>
        <v/>
      </c>
      <c r="BA48" s="178"/>
    </row>
    <row r="49" spans="1:53">
      <c r="A49" s="137">
        <f t="shared" si="21"/>
        <v>41532</v>
      </c>
      <c r="B49" s="138">
        <f t="shared" si="11"/>
        <v>45</v>
      </c>
      <c r="C49" s="139">
        <f>C48+(C48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49" s="139">
        <f t="shared" si="26"/>
        <v>9360</v>
      </c>
      <c r="E49" s="140">
        <f t="shared" si="12"/>
        <v>177840</v>
      </c>
      <c r="F49" s="141"/>
      <c r="G49" s="157">
        <f>IF(Input!$I$7="",0,IF(B49=Input!$I$7,Input!$I$6,IF(B49=Input!$I$7+12,Input!$I$6*(1+annual_incr_proptax),IF(B49=Input!$I$7+24,Input!$I$6*(1+annual_incr_proptax)^2,IF(B49=Input!$I$7+36,Input!$I$6*(1+annual_incr_proptax)^3,IF(B49=Input!$I$7+48,Input!$I$6*(1+annual_incr_proptax)^4,IF(B49=Input!$I$7+60,Input!$I$6*(1+annual_incr_proptax)^5,IF(B49=Input!$I$7+72,Input!$I$6*(1+annual_incr_proptax)^6,IF(B49=Input!$I$7+84,Input!$I$6*(1+annual_incr_proptax)^7,IF(B49=Input!$I$7+96,Input!$I$6*(1+annual_incr_proptax)^8,IF(B49=Input!$I$7+108,Input!$I$6*(1+annual_incr_proptax)^9,IF(B49=Input!$I$7+120,Input!$I$6*(1+annual_incr_proptax)^10,0))))))))))))</f>
        <v>0</v>
      </c>
      <c r="H49" s="139">
        <f>IF(Input!$I$10="",0,IF(B49=Input!$I$10,Input!$I$9,IF(B49=Input!$I$10+12,Input!$I$9*(1+annual_incr_ins),IF(B49=Input!$I$10+24,Input!$I$9*(1+annual_incr_ins)^2,IF(B49=Input!$I$10+36,Input!$I$9*(1+annual_incr_ins)^3,IF(B49=Input!$I$10+48,Input!$I$9*(1+annual_incr_ins)^4,IF(B49=Input!$I$10+60,Input!$I$9*(1+annual_incr_ins)^5,IF(B49=Input!$I$10+72,Input!$I$9*(1+annual_incr_ins)^6,IF(B49=Input!$I$10+84,Input!$I$9*(1+annual_incr_ins)^7,IF(B49=Input!$I$10+96,Input!$I$9*(1+annual_incr_ins)^8,IF(B49=Input!$I$10+108,Input!$I$9*(1+annual_incr_ins)^9,IF(B49=Input!$I$10+120,Input!$I$9*(1+annual_incr_ins)^10,0))))))))))))</f>
        <v>0</v>
      </c>
      <c r="I49" s="139">
        <f>IF(OR(Input!$I$13="",B49&lt;Input!$I$13),0,IF(AND(B49&gt;=Input!$I$13,B49&lt;Input!$I$13+12),Input!$I$12,IF(B49=Input!$I$13+12,Input!$I$12*(1+annual_incr_util),IF(B49=Input!$I$13+24,Input!$I$12*(1+annual_incr_util)^2,IF(B49=Input!$I$13+36,Input!$I$12*(1+annual_incr_util)^3,IF(B49=Input!$I$13+48,Input!$I$12*(1+annual_incr_util)^4,IF(B49=Input!$I$13+60,Input!$I$12*(1+annual_incr_util)^5,IF(B49=Input!$I$13+72,Input!$I$12*(1+annual_incr_util)^6,IF(B49=Input!$I$13+84,Input!$I$12*(1+annual_incr_util)^7,IF(B49=Input!$I$13+96,Input!$I$12*(1+annual_incr_util)^8,IF(B49=Input!$I$13+108,Input!$I$12*(1+annual_incr_util)^9,IF(B49=Input!$I$13+120,Input!$I$12*(1+annual_incr_util)^10,I48))))))))))))</f>
        <v>495.31638515624991</v>
      </c>
      <c r="J49" s="139">
        <f>IF(Input!$I$16="",0,IF(B49=Input!$I$16,Input!$I$15,IF(B49=Input!$I$16+12,Input!$I$15*(1+annual_incr_advtg),IF(B49=Input!$I$16+24,Input!$I$15*(1+annual_incr_advtg)^2,IF(B49=Input!$I$16+36,Input!$I$15*(1+annual_incr_advtg)^3,IF(B49=Input!$I$16+48,Input!$I$15*(1+annual_incr_advtg)^4,IF(B49=Input!$I$16+60,Input!$I$15*(1+annual_incr_advtg)^5,IF(B49=Input!$I$16+72,Input!$I$15*(1+annual_incr_advtg)^6,IF(B49=Input!$I$16+84,Input!$I$15*(1+annual_incr_advtg)^7,IF(B49=Input!$I$16+96,Input!$I$15*(1+annual_incr_advtg)^8,IF(B49=Input!$I$16+108,Input!$I$15*(1+annual_incr_advtg)^9,IF(B49=Input!$I$16+120,Input!$I$15*(1+annual_incr_advtg)^10,0))))))))))))</f>
        <v>0</v>
      </c>
      <c r="K49" s="139">
        <f>IF(Input!$I$19="",0,IF(B49=Input!$I$19,Input!$I$18,IF(B49=Input!$I$19+12,Input!$I$18*(1+annual_incr_other1),IF(B49=Input!$I$19+24,Input!$I$18*(1+annual_incr_other1)^2,IF(B49=Input!$I$19+36,Input!$I$18*(1+annual_incr_other1)^3,IF(B49=Input!$I$19+48,Input!$I$18*(1+annual_incr_other1)^4,IF(B49=Input!$I$19+60,Input!$I$18*(1+annual_incr_other1)^5,IF(B49=Input!$I$19+72,Input!$I$18*(1+annual_incr_other1)^6,IF(B49=Input!$I$19+84,Input!$I$18*(1+annual_incr_other1)^7,IF(B49=Input!$I$19+96,Input!$I$18*(1+annual_incr_other1)^8,IF(B49=Input!$I$19+108,Input!$I$18*(1+annual_incr_other1)^9,IF(B49=Input!$I$19+120,Input!$I$18*(1+annual_incr_other1)^10,0))))))))))))</f>
        <v>0</v>
      </c>
      <c r="L49" s="156">
        <f>IF(OR(Input!$I$22="",B49&lt;Input!$I$22),0,IF(AND(B49&gt;=Input!$I$22,B49&lt;Input!$I$22+12),Input!$I$21,IF(B49=Input!$I$22+12,Input!$I$21*(1+annual_incr_other2),IF(B49=Input!$I$22+24,Input!$I$21*(1+annual_incr_other2)^2,IF(B49=Input!$I$22+36,Input!$I$21*(1+annual_incr_other2)^3,IF(B49=Input!$I$22+48,Input!$I$21*(1+annual_incr_other2)^4,IF(B49=Input!$I$22+60,Input!$I$21*(1+annual_incr_other2)^5,IF(B49=Input!$I$22+72,Input!$I$21*(1+annual_incr_other2)^6,IF(B49=Input!$I$22+84,Input!$I$21*(1+annual_incr_other2)^7,IF(B49=Input!$I$22+96,Input!$I$21*(1+annual_incr_other2)^8,IF(B49=Input!$I$22+108,Input!$I$21*(1+annual_incr_other2)^9,IF(B49=Input!$I$22+120,Input!$I$21*(1+annual_incr_other2)^10,L48))))))))))))</f>
        <v>592.28984374999993</v>
      </c>
      <c r="M49" s="139">
        <f>IF(OR(Input!$I$27="",B49&lt;Input!$I$27),0,E49*mgmt_fee)</f>
        <v>1600.56</v>
      </c>
      <c r="N49" s="139">
        <f>IF(OR(Input!$I$29="",B49&lt;Input!$I$29),0,E49*repairs_maint)</f>
        <v>1956.2399999999998</v>
      </c>
      <c r="O49" s="149">
        <f>IF(Input!$I$31="",0,IF(OR(B49=Input!$I$31,B49=Input!$I$31+12,B49=Input!$I$31+24,B49=Input!$I$31+36,B49=Input!$I$31+48,B49=Input!$I$31+60,B49=Input!$I$31+72,B49=Input!$I$31+84,B49=Input!$I$31+96,B49=Input!$I$31+108,B49=Input!$I$31+120),E49*other_3,0))</f>
        <v>0</v>
      </c>
      <c r="P49" s="158">
        <f t="shared" si="13"/>
        <v>4644.4062289062495</v>
      </c>
      <c r="Q49" s="159">
        <f t="shared" si="14"/>
        <v>173195.59377109376</v>
      </c>
      <c r="R49" s="160"/>
      <c r="S49" s="161">
        <f>IF(AND(leveraged_property,B49&lt;=amort_period),-IPMT(interest_rate/12,B49,amort_period,loan_amount),0)</f>
        <v>41224.131882794041</v>
      </c>
      <c r="T49" s="149">
        <f t="shared" si="15"/>
        <v>12715.823245171188</v>
      </c>
      <c r="U49" s="149">
        <f>IF(AND(leveraged_property,B49&lt;=amort_period),-PMT(interest_rate/12,amort_period,loan_amount),0)</f>
        <v>53939.95512796523</v>
      </c>
      <c r="V49" s="149">
        <f t="shared" si="37"/>
        <v>8981640.2239098921</v>
      </c>
      <c r="W49" s="160"/>
      <c r="X49" s="149">
        <f t="shared" si="38"/>
        <v>99845.15625</v>
      </c>
      <c r="Y49" s="162">
        <f t="shared" si="39"/>
        <v>23866986.150000013</v>
      </c>
      <c r="Z49" s="156">
        <f t="shared" si="27"/>
        <v>27062343.677955359</v>
      </c>
      <c r="AA49" s="163">
        <f t="shared" ca="1" si="28"/>
        <v>27062343.677955359</v>
      </c>
      <c r="AB49" s="160"/>
      <c r="AC49" s="164">
        <f>Input!$C$25/12</f>
        <v>26538.461538461535</v>
      </c>
      <c r="AD49" s="139">
        <f t="shared" si="29"/>
        <v>105433.0003498382</v>
      </c>
      <c r="AE49" s="149">
        <f t="shared" si="30"/>
        <v>31629.900104951459</v>
      </c>
      <c r="AF49" s="139">
        <f ca="1">IF(AA49=0,0,AA49-(total_initial_cost-SUM($AC$5:AC49)))</f>
        <v>7556574.4471861273</v>
      </c>
      <c r="AG49" s="139">
        <f t="shared" ca="1" si="31"/>
        <v>1511314.8894372256</v>
      </c>
      <c r="AH49" s="149">
        <f t="shared" ca="1" si="19"/>
        <v>25551028.788518135</v>
      </c>
      <c r="AI49" s="103"/>
      <c r="AJ49" s="165">
        <f t="shared" ca="1" si="32"/>
        <v>4851028.7885181345</v>
      </c>
      <c r="AK49" s="165">
        <f t="shared" ca="1" si="40"/>
        <v>5992359.1747119296</v>
      </c>
      <c r="AL49" s="300">
        <f t="shared" ca="1" si="41"/>
        <v>0.535032069170708</v>
      </c>
      <c r="AM49" s="300">
        <f t="shared" si="42"/>
        <v>0.12010445837260761</v>
      </c>
      <c r="AN49" s="300">
        <f t="shared" si="43"/>
        <v>9.6253593976269952E-2</v>
      </c>
      <c r="AO49" s="301">
        <f>IF(leveraged_property,SUM(Q38:Q49)/SUM(U38:U49),"N/A")</f>
        <v>3.0781903547224747</v>
      </c>
      <c r="AP49" s="103"/>
      <c r="AQ49" s="149">
        <f t="shared" si="20"/>
        <v>119255.63864312854</v>
      </c>
      <c r="AR49" s="149">
        <f t="shared" ca="1" si="33"/>
        <v>18199959.092688594</v>
      </c>
      <c r="AS49" s="288">
        <f ca="1">IF(down_payment&lt;=0,"N/A",IRR(($AQ$4:AQ48,AR49),))</f>
        <v>1.764381572347283E-2</v>
      </c>
      <c r="AT49" s="290">
        <f t="shared" ca="1" si="34"/>
        <v>0.23352959200276913</v>
      </c>
      <c r="AU49" s="288">
        <f ca="1">IF(down_payment&lt;=0,"N/A",MIRR(($AQ$4:AQ48,AR49),finance_rate,reinvestment_rate))</f>
        <v>1.7289116635868185E-2</v>
      </c>
      <c r="AV49" s="290">
        <f t="shared" ca="1" si="35"/>
        <v>0.22838011989947149</v>
      </c>
      <c r="AW49" s="103"/>
      <c r="AX49" s="152" t="str">
        <f t="shared" si="36"/>
        <v/>
      </c>
      <c r="AY49" s="296" t="str">
        <f>IF(AND(B49=$BA$4,OR(down_payment&lt;=0,purchase_date="")),"N/A",IF(B49=$BA$4,XIRR(AX$4:AX49,A$4:A49),""))</f>
        <v/>
      </c>
      <c r="BA49" s="178"/>
    </row>
    <row r="50" spans="1:53">
      <c r="A50" s="137">
        <f t="shared" si="21"/>
        <v>41562</v>
      </c>
      <c r="B50" s="138">
        <f t="shared" si="11"/>
        <v>46</v>
      </c>
      <c r="C50" s="139">
        <f>C49+(C49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50" s="139">
        <f t="shared" si="26"/>
        <v>9360</v>
      </c>
      <c r="E50" s="140">
        <f t="shared" si="12"/>
        <v>177840</v>
      </c>
      <c r="F50" s="141"/>
      <c r="G50" s="157">
        <f>IF(Input!$I$7="",0,IF(B50=Input!$I$7,Input!$I$6,IF(B50=Input!$I$7+12,Input!$I$6*(1+annual_incr_proptax),IF(B50=Input!$I$7+24,Input!$I$6*(1+annual_incr_proptax)^2,IF(B50=Input!$I$7+36,Input!$I$6*(1+annual_incr_proptax)^3,IF(B50=Input!$I$7+48,Input!$I$6*(1+annual_incr_proptax)^4,IF(B50=Input!$I$7+60,Input!$I$6*(1+annual_incr_proptax)^5,IF(B50=Input!$I$7+72,Input!$I$6*(1+annual_incr_proptax)^6,IF(B50=Input!$I$7+84,Input!$I$6*(1+annual_incr_proptax)^7,IF(B50=Input!$I$7+96,Input!$I$6*(1+annual_incr_proptax)^8,IF(B50=Input!$I$7+108,Input!$I$6*(1+annual_incr_proptax)^9,IF(B50=Input!$I$7+120,Input!$I$6*(1+annual_incr_proptax)^10,0))))))))))))</f>
        <v>0</v>
      </c>
      <c r="H50" s="139">
        <f>IF(Input!$I$10="",0,IF(B50=Input!$I$10,Input!$I$9,IF(B50=Input!$I$10+12,Input!$I$9*(1+annual_incr_ins),IF(B50=Input!$I$10+24,Input!$I$9*(1+annual_incr_ins)^2,IF(B50=Input!$I$10+36,Input!$I$9*(1+annual_incr_ins)^3,IF(B50=Input!$I$10+48,Input!$I$9*(1+annual_incr_ins)^4,IF(B50=Input!$I$10+60,Input!$I$9*(1+annual_incr_ins)^5,IF(B50=Input!$I$10+72,Input!$I$9*(1+annual_incr_ins)^6,IF(B50=Input!$I$10+84,Input!$I$9*(1+annual_incr_ins)^7,IF(B50=Input!$I$10+96,Input!$I$9*(1+annual_incr_ins)^8,IF(B50=Input!$I$10+108,Input!$I$9*(1+annual_incr_ins)^9,IF(B50=Input!$I$10+120,Input!$I$9*(1+annual_incr_ins)^10,0))))))))))))</f>
        <v>0</v>
      </c>
      <c r="I50" s="139">
        <f>IF(OR(Input!$I$13="",B50&lt;Input!$I$13),0,IF(AND(B50&gt;=Input!$I$13,B50&lt;Input!$I$13+12),Input!$I$12,IF(B50=Input!$I$13+12,Input!$I$12*(1+annual_incr_util),IF(B50=Input!$I$13+24,Input!$I$12*(1+annual_incr_util)^2,IF(B50=Input!$I$13+36,Input!$I$12*(1+annual_incr_util)^3,IF(B50=Input!$I$13+48,Input!$I$12*(1+annual_incr_util)^4,IF(B50=Input!$I$13+60,Input!$I$12*(1+annual_incr_util)^5,IF(B50=Input!$I$13+72,Input!$I$12*(1+annual_incr_util)^6,IF(B50=Input!$I$13+84,Input!$I$12*(1+annual_incr_util)^7,IF(B50=Input!$I$13+96,Input!$I$12*(1+annual_incr_util)^8,IF(B50=Input!$I$13+108,Input!$I$12*(1+annual_incr_util)^9,IF(B50=Input!$I$13+120,Input!$I$12*(1+annual_incr_util)^10,I49))))))))))))</f>
        <v>495.31638515624991</v>
      </c>
      <c r="J50" s="139">
        <f>IF(Input!$I$16="",0,IF(B50=Input!$I$16,Input!$I$15,IF(B50=Input!$I$16+12,Input!$I$15*(1+annual_incr_advtg),IF(B50=Input!$I$16+24,Input!$I$15*(1+annual_incr_advtg)^2,IF(B50=Input!$I$16+36,Input!$I$15*(1+annual_incr_advtg)^3,IF(B50=Input!$I$16+48,Input!$I$15*(1+annual_incr_advtg)^4,IF(B50=Input!$I$16+60,Input!$I$15*(1+annual_incr_advtg)^5,IF(B50=Input!$I$16+72,Input!$I$15*(1+annual_incr_advtg)^6,IF(B50=Input!$I$16+84,Input!$I$15*(1+annual_incr_advtg)^7,IF(B50=Input!$I$16+96,Input!$I$15*(1+annual_incr_advtg)^8,IF(B50=Input!$I$16+108,Input!$I$15*(1+annual_incr_advtg)^9,IF(B50=Input!$I$16+120,Input!$I$15*(1+annual_incr_advtg)^10,0))))))))))))</f>
        <v>0</v>
      </c>
      <c r="K50" s="139">
        <f>IF(Input!$I$19="",0,IF(B50=Input!$I$19,Input!$I$18,IF(B50=Input!$I$19+12,Input!$I$18*(1+annual_incr_other1),IF(B50=Input!$I$19+24,Input!$I$18*(1+annual_incr_other1)^2,IF(B50=Input!$I$19+36,Input!$I$18*(1+annual_incr_other1)^3,IF(B50=Input!$I$19+48,Input!$I$18*(1+annual_incr_other1)^4,IF(B50=Input!$I$19+60,Input!$I$18*(1+annual_incr_other1)^5,IF(B50=Input!$I$19+72,Input!$I$18*(1+annual_incr_other1)^6,IF(B50=Input!$I$19+84,Input!$I$18*(1+annual_incr_other1)^7,IF(B50=Input!$I$19+96,Input!$I$18*(1+annual_incr_other1)^8,IF(B50=Input!$I$19+108,Input!$I$18*(1+annual_incr_other1)^9,IF(B50=Input!$I$19+120,Input!$I$18*(1+annual_incr_other1)^10,0))))))))))))</f>
        <v>0</v>
      </c>
      <c r="L50" s="156">
        <f>IF(OR(Input!$I$22="",B50&lt;Input!$I$22),0,IF(AND(B50&gt;=Input!$I$22,B50&lt;Input!$I$22+12),Input!$I$21,IF(B50=Input!$I$22+12,Input!$I$21*(1+annual_incr_other2),IF(B50=Input!$I$22+24,Input!$I$21*(1+annual_incr_other2)^2,IF(B50=Input!$I$22+36,Input!$I$21*(1+annual_incr_other2)^3,IF(B50=Input!$I$22+48,Input!$I$21*(1+annual_incr_other2)^4,IF(B50=Input!$I$22+60,Input!$I$21*(1+annual_incr_other2)^5,IF(B50=Input!$I$22+72,Input!$I$21*(1+annual_incr_other2)^6,IF(B50=Input!$I$22+84,Input!$I$21*(1+annual_incr_other2)^7,IF(B50=Input!$I$22+96,Input!$I$21*(1+annual_incr_other2)^8,IF(B50=Input!$I$22+108,Input!$I$21*(1+annual_incr_other2)^9,IF(B50=Input!$I$22+120,Input!$I$21*(1+annual_incr_other2)^10,L49))))))))))))</f>
        <v>592.28984374999993</v>
      </c>
      <c r="M50" s="139">
        <f>IF(OR(Input!$I$27="",B50&lt;Input!$I$27),0,E50*mgmt_fee)</f>
        <v>1600.56</v>
      </c>
      <c r="N50" s="139">
        <f>IF(OR(Input!$I$29="",B50&lt;Input!$I$29),0,E50*repairs_maint)</f>
        <v>1956.2399999999998</v>
      </c>
      <c r="O50" s="149">
        <f>IF(Input!$I$31="",0,IF(OR(B50=Input!$I$31,B50=Input!$I$31+12,B50=Input!$I$31+24,B50=Input!$I$31+36,B50=Input!$I$31+48,B50=Input!$I$31+60,B50=Input!$I$31+72,B50=Input!$I$31+84,B50=Input!$I$31+96,B50=Input!$I$31+108,B50=Input!$I$31+120),E50*other_3,0))</f>
        <v>0</v>
      </c>
      <c r="P50" s="158">
        <f t="shared" si="13"/>
        <v>4644.4062289062495</v>
      </c>
      <c r="Q50" s="159">
        <f t="shared" si="14"/>
        <v>173195.59377109376</v>
      </c>
      <c r="R50" s="160"/>
      <c r="S50" s="161">
        <f>IF(AND(leveraged_property,B50&lt;=amort_period),-IPMT(interest_rate/12,B50,amort_period,loan_amount),0)</f>
        <v>41165.851026253666</v>
      </c>
      <c r="T50" s="149">
        <f t="shared" si="15"/>
        <v>12774.104101711564</v>
      </c>
      <c r="U50" s="149">
        <f>IF(AND(leveraged_property,B50&lt;=amort_period),-PMT(interest_rate/12,amort_period,loan_amount),0)</f>
        <v>53939.95512796523</v>
      </c>
      <c r="V50" s="149">
        <f t="shared" si="37"/>
        <v>8968866.1198081803</v>
      </c>
      <c r="W50" s="160"/>
      <c r="X50" s="149">
        <f t="shared" si="38"/>
        <v>99845.15625</v>
      </c>
      <c r="Y50" s="162">
        <f t="shared" si="39"/>
        <v>23962837.500000015</v>
      </c>
      <c r="Z50" s="156">
        <f t="shared" si="27"/>
        <v>27417510.545612026</v>
      </c>
      <c r="AA50" s="163">
        <f t="shared" ca="1" si="28"/>
        <v>27417510.545612026</v>
      </c>
      <c r="AB50" s="160"/>
      <c r="AC50" s="164">
        <f>Input!$C$25/12</f>
        <v>26538.461538461535</v>
      </c>
      <c r="AD50" s="139">
        <f t="shared" si="29"/>
        <v>105491.28120637857</v>
      </c>
      <c r="AE50" s="149">
        <f t="shared" si="30"/>
        <v>31647.38436191357</v>
      </c>
      <c r="AF50" s="139">
        <f ca="1">IF(AA50=0,0,AA50-(total_initial_cost-SUM($AC$5:AC50)))</f>
        <v>7938279.7763812579</v>
      </c>
      <c r="AG50" s="139">
        <f t="shared" ca="1" si="31"/>
        <v>1587655.9552762518</v>
      </c>
      <c r="AH50" s="149">
        <f t="shared" ca="1" si="19"/>
        <v>25829854.590335775</v>
      </c>
      <c r="AI50" s="103"/>
      <c r="AJ50" s="165">
        <f t="shared" ca="1" si="32"/>
        <v>5129854.5903357752</v>
      </c>
      <c r="AK50" s="165">
        <f t="shared" ca="1" si="40"/>
        <v>6271641.4099635677</v>
      </c>
      <c r="AL50" s="300">
        <f t="shared" ca="1" si="41"/>
        <v>0.55996798303246142</v>
      </c>
      <c r="AM50" s="300">
        <f t="shared" si="42"/>
        <v>0.1201017764827499</v>
      </c>
      <c r="AN50" s="300">
        <f t="shared" si="43"/>
        <v>9.6252142905429078E-2</v>
      </c>
      <c r="AO50" s="301">
        <f>IF(leveraged_property,SUM(Q39:Q50)/SUM(U39:U50),"N/A")</f>
        <v>3.0781439494706611</v>
      </c>
      <c r="AP50" s="103"/>
      <c r="AQ50" s="149">
        <f t="shared" si="20"/>
        <v>119255.63864312854</v>
      </c>
      <c r="AR50" s="149">
        <f t="shared" ca="1" si="33"/>
        <v>18567900.064446971</v>
      </c>
      <c r="AS50" s="288">
        <f ca="1">IF(down_payment&lt;=0,"N/A",IRR(($AQ$4:AQ49,AR50),))</f>
        <v>1.78161206869498E-2</v>
      </c>
      <c r="AT50" s="290">
        <f t="shared" ca="1" si="34"/>
        <v>0.23603822588766765</v>
      </c>
      <c r="AU50" s="288">
        <f ca="1">IF(down_payment&lt;=0,"N/A",MIRR(($AQ$4:AQ49,AR50),finance_rate,reinvestment_rate))</f>
        <v>1.7432739863302738E-2</v>
      </c>
      <c r="AV50" s="290">
        <f t="shared" ca="1" si="35"/>
        <v>0.23046284315981769</v>
      </c>
      <c r="AW50" s="103"/>
      <c r="AX50" s="152" t="str">
        <f t="shared" si="36"/>
        <v/>
      </c>
      <c r="AY50" s="296" t="str">
        <f>IF(AND(B50=$BA$4,OR(down_payment&lt;=0,purchase_date="")),"N/A",IF(B50=$BA$4,XIRR(AX$4:AX50,A$4:A50),""))</f>
        <v/>
      </c>
      <c r="BA50" s="178"/>
    </row>
    <row r="51" spans="1:53">
      <c r="A51" s="137">
        <f t="shared" si="21"/>
        <v>41593</v>
      </c>
      <c r="B51" s="138">
        <f t="shared" si="11"/>
        <v>47</v>
      </c>
      <c r="C51" s="139">
        <f>C50+(C50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51" s="139">
        <f t="shared" si="26"/>
        <v>9360</v>
      </c>
      <c r="E51" s="140">
        <f t="shared" si="12"/>
        <v>177840</v>
      </c>
      <c r="F51" s="141"/>
      <c r="G51" s="157">
        <f>IF(Input!$I$7="",0,IF(B51=Input!$I$7,Input!$I$6,IF(B51=Input!$I$7+12,Input!$I$6*(1+annual_incr_proptax),IF(B51=Input!$I$7+24,Input!$I$6*(1+annual_incr_proptax)^2,IF(B51=Input!$I$7+36,Input!$I$6*(1+annual_incr_proptax)^3,IF(B51=Input!$I$7+48,Input!$I$6*(1+annual_incr_proptax)^4,IF(B51=Input!$I$7+60,Input!$I$6*(1+annual_incr_proptax)^5,IF(B51=Input!$I$7+72,Input!$I$6*(1+annual_incr_proptax)^6,IF(B51=Input!$I$7+84,Input!$I$6*(1+annual_incr_proptax)^7,IF(B51=Input!$I$7+96,Input!$I$6*(1+annual_incr_proptax)^8,IF(B51=Input!$I$7+108,Input!$I$6*(1+annual_incr_proptax)^9,IF(B51=Input!$I$7+120,Input!$I$6*(1+annual_incr_proptax)^10,0))))))))))))</f>
        <v>0</v>
      </c>
      <c r="H51" s="139">
        <f>IF(Input!$I$10="",0,IF(B51=Input!$I$10,Input!$I$9,IF(B51=Input!$I$10+12,Input!$I$9*(1+annual_incr_ins),IF(B51=Input!$I$10+24,Input!$I$9*(1+annual_incr_ins)^2,IF(B51=Input!$I$10+36,Input!$I$9*(1+annual_incr_ins)^3,IF(B51=Input!$I$10+48,Input!$I$9*(1+annual_incr_ins)^4,IF(B51=Input!$I$10+60,Input!$I$9*(1+annual_incr_ins)^5,IF(B51=Input!$I$10+72,Input!$I$9*(1+annual_incr_ins)^6,IF(B51=Input!$I$10+84,Input!$I$9*(1+annual_incr_ins)^7,IF(B51=Input!$I$10+96,Input!$I$9*(1+annual_incr_ins)^8,IF(B51=Input!$I$10+108,Input!$I$9*(1+annual_incr_ins)^9,IF(B51=Input!$I$10+120,Input!$I$9*(1+annual_incr_ins)^10,0))))))))))))</f>
        <v>0</v>
      </c>
      <c r="I51" s="139">
        <f>IF(OR(Input!$I$13="",B51&lt;Input!$I$13),0,IF(AND(B51&gt;=Input!$I$13,B51&lt;Input!$I$13+12),Input!$I$12,IF(B51=Input!$I$13+12,Input!$I$12*(1+annual_incr_util),IF(B51=Input!$I$13+24,Input!$I$12*(1+annual_incr_util)^2,IF(B51=Input!$I$13+36,Input!$I$12*(1+annual_incr_util)^3,IF(B51=Input!$I$13+48,Input!$I$12*(1+annual_incr_util)^4,IF(B51=Input!$I$13+60,Input!$I$12*(1+annual_incr_util)^5,IF(B51=Input!$I$13+72,Input!$I$12*(1+annual_incr_util)^6,IF(B51=Input!$I$13+84,Input!$I$12*(1+annual_incr_util)^7,IF(B51=Input!$I$13+96,Input!$I$12*(1+annual_incr_util)^8,IF(B51=Input!$I$13+108,Input!$I$12*(1+annual_incr_util)^9,IF(B51=Input!$I$13+120,Input!$I$12*(1+annual_incr_util)^10,I50))))))))))))</f>
        <v>495.31638515624991</v>
      </c>
      <c r="J51" s="139">
        <f>IF(Input!$I$16="",0,IF(B51=Input!$I$16,Input!$I$15,IF(B51=Input!$I$16+12,Input!$I$15*(1+annual_incr_advtg),IF(B51=Input!$I$16+24,Input!$I$15*(1+annual_incr_advtg)^2,IF(B51=Input!$I$16+36,Input!$I$15*(1+annual_incr_advtg)^3,IF(B51=Input!$I$16+48,Input!$I$15*(1+annual_incr_advtg)^4,IF(B51=Input!$I$16+60,Input!$I$15*(1+annual_incr_advtg)^5,IF(B51=Input!$I$16+72,Input!$I$15*(1+annual_incr_advtg)^6,IF(B51=Input!$I$16+84,Input!$I$15*(1+annual_incr_advtg)^7,IF(B51=Input!$I$16+96,Input!$I$15*(1+annual_incr_advtg)^8,IF(B51=Input!$I$16+108,Input!$I$15*(1+annual_incr_advtg)^9,IF(B51=Input!$I$16+120,Input!$I$15*(1+annual_incr_advtg)^10,0))))))))))))</f>
        <v>0</v>
      </c>
      <c r="K51" s="139">
        <f>IF(Input!$I$19="",0,IF(B51=Input!$I$19,Input!$I$18,IF(B51=Input!$I$19+12,Input!$I$18*(1+annual_incr_other1),IF(B51=Input!$I$19+24,Input!$I$18*(1+annual_incr_other1)^2,IF(B51=Input!$I$19+36,Input!$I$18*(1+annual_incr_other1)^3,IF(B51=Input!$I$19+48,Input!$I$18*(1+annual_incr_other1)^4,IF(B51=Input!$I$19+60,Input!$I$18*(1+annual_incr_other1)^5,IF(B51=Input!$I$19+72,Input!$I$18*(1+annual_incr_other1)^6,IF(B51=Input!$I$19+84,Input!$I$18*(1+annual_incr_other1)^7,IF(B51=Input!$I$19+96,Input!$I$18*(1+annual_incr_other1)^8,IF(B51=Input!$I$19+108,Input!$I$18*(1+annual_incr_other1)^9,IF(B51=Input!$I$19+120,Input!$I$18*(1+annual_incr_other1)^10,0))))))))))))</f>
        <v>0</v>
      </c>
      <c r="L51" s="156">
        <f>IF(OR(Input!$I$22="",B51&lt;Input!$I$22),0,IF(AND(B51&gt;=Input!$I$22,B51&lt;Input!$I$22+12),Input!$I$21,IF(B51=Input!$I$22+12,Input!$I$21*(1+annual_incr_other2),IF(B51=Input!$I$22+24,Input!$I$21*(1+annual_incr_other2)^2,IF(B51=Input!$I$22+36,Input!$I$21*(1+annual_incr_other2)^3,IF(B51=Input!$I$22+48,Input!$I$21*(1+annual_incr_other2)^4,IF(B51=Input!$I$22+60,Input!$I$21*(1+annual_incr_other2)^5,IF(B51=Input!$I$22+72,Input!$I$21*(1+annual_incr_other2)^6,IF(B51=Input!$I$22+84,Input!$I$21*(1+annual_incr_other2)^7,IF(B51=Input!$I$22+96,Input!$I$21*(1+annual_incr_other2)^8,IF(B51=Input!$I$22+108,Input!$I$21*(1+annual_incr_other2)^9,IF(B51=Input!$I$22+120,Input!$I$21*(1+annual_incr_other2)^10,L50))))))))))))</f>
        <v>592.28984374999993</v>
      </c>
      <c r="M51" s="139">
        <f>IF(OR(Input!$I$27="",B51&lt;Input!$I$27),0,E51*mgmt_fee)</f>
        <v>1600.56</v>
      </c>
      <c r="N51" s="139">
        <f>IF(OR(Input!$I$29="",B51&lt;Input!$I$29),0,E51*repairs_maint)</f>
        <v>1956.2399999999998</v>
      </c>
      <c r="O51" s="149">
        <f>IF(Input!$I$31="",0,IF(OR(B51=Input!$I$31,B51=Input!$I$31+12,B51=Input!$I$31+24,B51=Input!$I$31+36,B51=Input!$I$31+48,B51=Input!$I$31+60,B51=Input!$I$31+72,B51=Input!$I$31+84,B51=Input!$I$31+96,B51=Input!$I$31+108,B51=Input!$I$31+120),E51*other_3,0))</f>
        <v>0</v>
      </c>
      <c r="P51" s="158">
        <f t="shared" si="13"/>
        <v>4644.4062289062495</v>
      </c>
      <c r="Q51" s="159">
        <f t="shared" si="14"/>
        <v>173195.59377109376</v>
      </c>
      <c r="R51" s="160"/>
      <c r="S51" s="161">
        <f>IF(AND(leveraged_property,B51&lt;=amort_period),-IPMT(interest_rate/12,B51,amort_period,loan_amount),0)</f>
        <v>41107.303049120819</v>
      </c>
      <c r="T51" s="149">
        <f t="shared" si="15"/>
        <v>12832.65207884441</v>
      </c>
      <c r="U51" s="149">
        <f>IF(AND(leveraged_property,B51&lt;=amort_period),-PMT(interest_rate/12,amort_period,loan_amount),0)</f>
        <v>53939.95512796523</v>
      </c>
      <c r="V51" s="149">
        <f t="shared" si="37"/>
        <v>8956033.4677293357</v>
      </c>
      <c r="W51" s="160"/>
      <c r="X51" s="149">
        <f t="shared" si="38"/>
        <v>99845.15625</v>
      </c>
      <c r="Y51" s="162">
        <f t="shared" si="39"/>
        <v>24058688.850000016</v>
      </c>
      <c r="Z51" s="156">
        <f t="shared" si="27"/>
        <v>27772677.413268689</v>
      </c>
      <c r="AA51" s="163">
        <f t="shared" ca="1" si="28"/>
        <v>27772677.413268689</v>
      </c>
      <c r="AB51" s="160"/>
      <c r="AC51" s="164">
        <f>Input!$C$25/12</f>
        <v>26538.461538461535</v>
      </c>
      <c r="AD51" s="139">
        <f t="shared" si="29"/>
        <v>105549.82918351141</v>
      </c>
      <c r="AE51" s="149">
        <f t="shared" si="30"/>
        <v>31664.948755053421</v>
      </c>
      <c r="AF51" s="139">
        <f ca="1">IF(AA51=0,0,AA51-(total_initial_cost-SUM($AC$5:AC51)))</f>
        <v>8319985.1055763811</v>
      </c>
      <c r="AG51" s="139">
        <f t="shared" ca="1" si="31"/>
        <v>1663997.0211152763</v>
      </c>
      <c r="AH51" s="149">
        <f t="shared" ca="1" si="19"/>
        <v>26108680.392153412</v>
      </c>
      <c r="AI51" s="103"/>
      <c r="AJ51" s="165">
        <f t="shared" ca="1" si="32"/>
        <v>5408680.3921534121</v>
      </c>
      <c r="AK51" s="165">
        <f t="shared" ca="1" si="40"/>
        <v>6550925.8335710168</v>
      </c>
      <c r="AL51" s="300">
        <f t="shared" ca="1" si="41"/>
        <v>0.58490409228312645</v>
      </c>
      <c r="AM51" s="300">
        <f t="shared" si="42"/>
        <v>0.12009909459289221</v>
      </c>
      <c r="AN51" s="300">
        <f t="shared" si="43"/>
        <v>9.625069183458819E-2</v>
      </c>
      <c r="AO51" s="301">
        <f>IF(leveraged_property,SUM(Q40:Q51)/SUM(U40:U51),"N/A")</f>
        <v>3.0780975442188478</v>
      </c>
      <c r="AP51" s="103"/>
      <c r="AQ51" s="149">
        <f t="shared" si="20"/>
        <v>119255.63864312854</v>
      </c>
      <c r="AR51" s="149">
        <f t="shared" ca="1" si="33"/>
        <v>18935899.584182478</v>
      </c>
      <c r="AS51" s="288">
        <f ca="1">IF(down_payment&lt;=0,"N/A",IRR(($AQ$4:AQ50,AR51),))</f>
        <v>1.7971631057213035E-2</v>
      </c>
      <c r="AT51" s="290">
        <f t="shared" ca="1" si="34"/>
        <v>0.23830635704168368</v>
      </c>
      <c r="AU51" s="288">
        <f ca="1">IF(down_payment&lt;=0,"N/A",MIRR(($AQ$4:AQ50,AR51),finance_rate,reinvestment_rate))</f>
        <v>1.7561209157890945E-2</v>
      </c>
      <c r="AV51" s="290">
        <f t="shared" ca="1" si="35"/>
        <v>0.23232855689678278</v>
      </c>
      <c r="AW51" s="103"/>
      <c r="AX51" s="152" t="str">
        <f t="shared" si="36"/>
        <v/>
      </c>
      <c r="AY51" s="296" t="str">
        <f>IF(AND(B51=$BA$4,OR(down_payment&lt;=0,purchase_date="")),"N/A",IF(B51=$BA$4,XIRR(AX$4:AX51,A$4:A51),""))</f>
        <v/>
      </c>
      <c r="BA51" s="178"/>
    </row>
    <row r="52" spans="1:53">
      <c r="A52" s="181">
        <f t="shared" si="21"/>
        <v>41623</v>
      </c>
      <c r="B52" s="182">
        <f t="shared" si="11"/>
        <v>48</v>
      </c>
      <c r="C52" s="183">
        <f>C51+(C51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187200</v>
      </c>
      <c r="D52" s="183">
        <f t="shared" si="26"/>
        <v>9360</v>
      </c>
      <c r="E52" s="184">
        <f t="shared" si="12"/>
        <v>177840</v>
      </c>
      <c r="F52" s="141"/>
      <c r="G52" s="185">
        <f>IF(Input!$I$7="",0,IF(B52=Input!$I$7,Input!$I$6,IF(B52=Input!$I$7+12,Input!$I$6*(1+annual_incr_proptax),IF(B52=Input!$I$7+24,Input!$I$6*(1+annual_incr_proptax)^2,IF(B52=Input!$I$7+36,Input!$I$6*(1+annual_incr_proptax)^3,IF(B52=Input!$I$7+48,Input!$I$6*(1+annual_incr_proptax)^4,IF(B52=Input!$I$7+60,Input!$I$6*(1+annual_incr_proptax)^5,IF(B52=Input!$I$7+72,Input!$I$6*(1+annual_incr_proptax)^6,IF(B52=Input!$I$7+84,Input!$I$6*(1+annual_incr_proptax)^7,IF(B52=Input!$I$7+96,Input!$I$6*(1+annual_incr_proptax)^8,IF(B52=Input!$I$7+108,Input!$I$6*(1+annual_incr_proptax)^9,IF(B52=Input!$I$7+120,Input!$I$6*(1+annual_incr_proptax)^10,0))))))))))))</f>
        <v>0</v>
      </c>
      <c r="H52" s="183">
        <f>IF(Input!$I$10="",0,IF(B52=Input!$I$10,Input!$I$9,IF(B52=Input!$I$10+12,Input!$I$9*(1+annual_incr_ins),IF(B52=Input!$I$10+24,Input!$I$9*(1+annual_incr_ins)^2,IF(B52=Input!$I$10+36,Input!$I$9*(1+annual_incr_ins)^3,IF(B52=Input!$I$10+48,Input!$I$9*(1+annual_incr_ins)^4,IF(B52=Input!$I$10+60,Input!$I$9*(1+annual_incr_ins)^5,IF(B52=Input!$I$10+72,Input!$I$9*(1+annual_incr_ins)^6,IF(B52=Input!$I$10+84,Input!$I$9*(1+annual_incr_ins)^7,IF(B52=Input!$I$10+96,Input!$I$9*(1+annual_incr_ins)^8,IF(B52=Input!$I$10+108,Input!$I$9*(1+annual_incr_ins)^9,IF(B52=Input!$I$10+120,Input!$I$9*(1+annual_incr_ins)^10,0))))))))))))</f>
        <v>0</v>
      </c>
      <c r="I52" s="183">
        <f>IF(OR(Input!$I$13="",B52&lt;Input!$I$13),0,IF(AND(B52&gt;=Input!$I$13,B52&lt;Input!$I$13+12),Input!$I$12,IF(B52=Input!$I$13+12,Input!$I$12*(1+annual_incr_util),IF(B52=Input!$I$13+24,Input!$I$12*(1+annual_incr_util)^2,IF(B52=Input!$I$13+36,Input!$I$12*(1+annual_incr_util)^3,IF(B52=Input!$I$13+48,Input!$I$12*(1+annual_incr_util)^4,IF(B52=Input!$I$13+60,Input!$I$12*(1+annual_incr_util)^5,IF(B52=Input!$I$13+72,Input!$I$12*(1+annual_incr_util)^6,IF(B52=Input!$I$13+84,Input!$I$12*(1+annual_incr_util)^7,IF(B52=Input!$I$13+96,Input!$I$12*(1+annual_incr_util)^8,IF(B52=Input!$I$13+108,Input!$I$12*(1+annual_incr_util)^9,IF(B52=Input!$I$13+120,Input!$I$12*(1+annual_incr_util)^10,I51))))))))))))</f>
        <v>495.31638515624991</v>
      </c>
      <c r="J52" s="183">
        <f>IF(Input!$I$16="",0,IF(B52=Input!$I$16,Input!$I$15,IF(B52=Input!$I$16+12,Input!$I$15*(1+annual_incr_advtg),IF(B52=Input!$I$16+24,Input!$I$15*(1+annual_incr_advtg)^2,IF(B52=Input!$I$16+36,Input!$I$15*(1+annual_incr_advtg)^3,IF(B52=Input!$I$16+48,Input!$I$15*(1+annual_incr_advtg)^4,IF(B52=Input!$I$16+60,Input!$I$15*(1+annual_incr_advtg)^5,IF(B52=Input!$I$16+72,Input!$I$15*(1+annual_incr_advtg)^6,IF(B52=Input!$I$16+84,Input!$I$15*(1+annual_incr_advtg)^7,IF(B52=Input!$I$16+96,Input!$I$15*(1+annual_incr_advtg)^8,IF(B52=Input!$I$16+108,Input!$I$15*(1+annual_incr_advtg)^9,IF(B52=Input!$I$16+120,Input!$I$15*(1+annual_incr_advtg)^10,0))))))))))))</f>
        <v>0</v>
      </c>
      <c r="K52" s="183">
        <f>IF(Input!$I$19="",0,IF(B52=Input!$I$19,Input!$I$18,IF(B52=Input!$I$19+12,Input!$I$18*(1+annual_incr_other1),IF(B52=Input!$I$19+24,Input!$I$18*(1+annual_incr_other1)^2,IF(B52=Input!$I$19+36,Input!$I$18*(1+annual_incr_other1)^3,IF(B52=Input!$I$19+48,Input!$I$18*(1+annual_incr_other1)^4,IF(B52=Input!$I$19+60,Input!$I$18*(1+annual_incr_other1)^5,IF(B52=Input!$I$19+72,Input!$I$18*(1+annual_incr_other1)^6,IF(B52=Input!$I$19+84,Input!$I$18*(1+annual_incr_other1)^7,IF(B52=Input!$I$19+96,Input!$I$18*(1+annual_incr_other1)^8,IF(B52=Input!$I$19+108,Input!$I$18*(1+annual_incr_other1)^9,IF(B52=Input!$I$19+120,Input!$I$18*(1+annual_incr_other1)^10,0))))))))))))</f>
        <v>0</v>
      </c>
      <c r="L52" s="183">
        <f>IF(OR(Input!$I$22="",B52&lt;Input!$I$22),0,IF(AND(B52&gt;=Input!$I$22,B52&lt;Input!$I$22+12),Input!$I$21,IF(B52=Input!$I$22+12,Input!$I$21*(1+annual_incr_other2),IF(B52=Input!$I$22+24,Input!$I$21*(1+annual_incr_other2)^2,IF(B52=Input!$I$22+36,Input!$I$21*(1+annual_incr_other2)^3,IF(B52=Input!$I$22+48,Input!$I$21*(1+annual_incr_other2)^4,IF(B52=Input!$I$22+60,Input!$I$21*(1+annual_incr_other2)^5,IF(B52=Input!$I$22+72,Input!$I$21*(1+annual_incr_other2)^6,IF(B52=Input!$I$22+84,Input!$I$21*(1+annual_incr_other2)^7,IF(B52=Input!$I$22+96,Input!$I$21*(1+annual_incr_other2)^8,IF(B52=Input!$I$22+108,Input!$I$21*(1+annual_incr_other2)^9,IF(B52=Input!$I$22+120,Input!$I$21*(1+annual_incr_other2)^10,L51))))))))))))</f>
        <v>592.28984374999993</v>
      </c>
      <c r="M52" s="183">
        <f>IF(OR(Input!$I$27="",B52&lt;Input!$I$27),0,E52*mgmt_fee)</f>
        <v>1600.56</v>
      </c>
      <c r="N52" s="183">
        <f>IF(OR(Input!$I$29="",B52&lt;Input!$I$29),0,E52*repairs_maint)</f>
        <v>1956.2399999999998</v>
      </c>
      <c r="O52" s="186">
        <f>IF(Input!$I$31="",0,IF(OR(B52=Input!$I$31,B52=Input!$I$31+12,B52=Input!$I$31+24,B52=Input!$I$31+36,B52=Input!$I$31+48,B52=Input!$I$31+60,B52=Input!$I$31+72,B52=Input!$I$31+84,B52=Input!$I$31+96,B52=Input!$I$31+108,B52=Input!$I$31+120),E52*other_3,0))</f>
        <v>0</v>
      </c>
      <c r="P52" s="187">
        <f t="shared" si="13"/>
        <v>4644.4062289062495</v>
      </c>
      <c r="Q52" s="188">
        <f t="shared" si="14"/>
        <v>173195.59377109376</v>
      </c>
      <c r="R52" s="160"/>
      <c r="S52" s="189">
        <f>IF(AND(leveraged_property,B52&lt;=amort_period),-IPMT(interest_rate/12,B52,amort_period,loan_amount),0)</f>
        <v>41048.486727092779</v>
      </c>
      <c r="T52" s="186">
        <f t="shared" si="15"/>
        <v>12891.468400872451</v>
      </c>
      <c r="U52" s="186">
        <f>IF(AND(leveraged_property,B52&lt;=amort_period),-PMT(interest_rate/12,amort_period,loan_amount),0)</f>
        <v>53939.95512796523</v>
      </c>
      <c r="V52" s="186">
        <f t="shared" si="37"/>
        <v>8943141.9993284624</v>
      </c>
      <c r="W52" s="160"/>
      <c r="X52" s="186">
        <f t="shared" si="38"/>
        <v>99845.15625</v>
      </c>
      <c r="Y52" s="186">
        <f t="shared" si="39"/>
        <v>24154540.200000018</v>
      </c>
      <c r="Z52" s="183">
        <f t="shared" si="27"/>
        <v>28127844.280925356</v>
      </c>
      <c r="AA52" s="188">
        <f t="shared" ca="1" si="28"/>
        <v>28127844.280925356</v>
      </c>
      <c r="AB52" s="160"/>
      <c r="AC52" s="190">
        <f>Input!$C$25/12</f>
        <v>26538.461538461535</v>
      </c>
      <c r="AD52" s="183">
        <f t="shared" si="29"/>
        <v>105608.64550553946</v>
      </c>
      <c r="AE52" s="186">
        <f t="shared" si="30"/>
        <v>31682.593651661839</v>
      </c>
      <c r="AF52" s="183">
        <f ca="1">IF(AA52=0,0,AA52-(total_initial_cost-SUM($AC$5:AC52)))</f>
        <v>8701690.434771508</v>
      </c>
      <c r="AG52" s="183">
        <f t="shared" ca="1" si="31"/>
        <v>1740338.0869543017</v>
      </c>
      <c r="AH52" s="186">
        <f t="shared" ca="1" si="19"/>
        <v>26387506.193971053</v>
      </c>
      <c r="AI52" s="103"/>
      <c r="AJ52" s="191">
        <f t="shared" ca="1" si="32"/>
        <v>5687506.1939710528</v>
      </c>
      <c r="AK52" s="191">
        <f t="shared" ca="1" si="40"/>
        <v>6830212.4555642474</v>
      </c>
      <c r="AL52" s="298">
        <f t="shared" ca="1" si="41"/>
        <v>0.6098403978182364</v>
      </c>
      <c r="AM52" s="298">
        <f t="shared" si="42"/>
        <v>0.12009641270303452</v>
      </c>
      <c r="AN52" s="298">
        <f t="shared" si="43"/>
        <v>9.6249240763747315E-2</v>
      </c>
      <c r="AO52" s="299">
        <f>IF(leveraged_property,SUM(Q41:Q52)/SUM(U41:U52),"N/A")</f>
        <v>3.0780511389670346</v>
      </c>
      <c r="AP52" s="103"/>
      <c r="AQ52" s="186">
        <f t="shared" si="20"/>
        <v>119255.63864312854</v>
      </c>
      <c r="AR52" s="186">
        <f t="shared" ca="1" si="33"/>
        <v>19303957.920240022</v>
      </c>
      <c r="AS52" s="289">
        <f ca="1">IF(down_payment&lt;=0,"N/A",IRR(($AQ$4:AQ51,AR52),))</f>
        <v>1.8111767399968864E-2</v>
      </c>
      <c r="AT52" s="291">
        <f t="shared" ca="1" si="34"/>
        <v>0.24035352418142697</v>
      </c>
      <c r="AU52" s="289">
        <f ca="1">IF(down_payment&lt;=0,"N/A",MIRR(($AQ$4:AQ51,AR52),finance_rate,reinvestment_rate))</f>
        <v>1.7675847073788109E-2</v>
      </c>
      <c r="AV52" s="291">
        <f t="shared" ca="1" si="35"/>
        <v>0.2339955915059011</v>
      </c>
      <c r="AW52" s="103"/>
      <c r="AX52" s="192" t="str">
        <f t="shared" si="36"/>
        <v/>
      </c>
      <c r="AY52" s="296" t="str">
        <f>IF(AND(B52=$BA$4,OR(down_payment&lt;=0,purchase_date="")),"N/A",IF(B52=$BA$4,XIRR(AX$4:AX52,A$4:A52),""))</f>
        <v/>
      </c>
      <c r="BA52" s="178"/>
    </row>
    <row r="53" spans="1:53">
      <c r="A53" s="137">
        <f t="shared" si="21"/>
        <v>41654</v>
      </c>
      <c r="B53" s="138">
        <f t="shared" si="11"/>
        <v>49</v>
      </c>
      <c r="C53" s="139">
        <f>C52+(C52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53" s="139">
        <f t="shared" si="26"/>
        <v>10951.2</v>
      </c>
      <c r="E53" s="140">
        <f t="shared" si="12"/>
        <v>208072.8</v>
      </c>
      <c r="F53" s="141"/>
      <c r="G53" s="157">
        <f>IF(Input!$I$7="",0,IF(B53=Input!$I$7,Input!$I$6,IF(B53=Input!$I$7+12,Input!$I$6*(1+annual_incr_proptax),IF(B53=Input!$I$7+24,Input!$I$6*(1+annual_incr_proptax)^2,IF(B53=Input!$I$7+36,Input!$I$6*(1+annual_incr_proptax)^3,IF(B53=Input!$I$7+48,Input!$I$6*(1+annual_incr_proptax)^4,IF(B53=Input!$I$7+60,Input!$I$6*(1+annual_incr_proptax)^5,IF(B53=Input!$I$7+72,Input!$I$6*(1+annual_incr_proptax)^6,IF(B53=Input!$I$7+84,Input!$I$6*(1+annual_incr_proptax)^7,IF(B53=Input!$I$7+96,Input!$I$6*(1+annual_incr_proptax)^8,IF(B53=Input!$I$7+108,Input!$I$6*(1+annual_incr_proptax)^9,IF(B53=Input!$I$7+120,Input!$I$6*(1+annual_incr_proptax)^10,0))))))))))))</f>
        <v>0</v>
      </c>
      <c r="H53" s="139">
        <f>IF(Input!$I$10="",0,IF(B53=Input!$I$10,Input!$I$9,IF(B53=Input!$I$10+12,Input!$I$9*(1+annual_incr_ins),IF(B53=Input!$I$10+24,Input!$I$9*(1+annual_incr_ins)^2,IF(B53=Input!$I$10+36,Input!$I$9*(1+annual_incr_ins)^3,IF(B53=Input!$I$10+48,Input!$I$9*(1+annual_incr_ins)^4,IF(B53=Input!$I$10+60,Input!$I$9*(1+annual_incr_ins)^5,IF(B53=Input!$I$10+72,Input!$I$9*(1+annual_incr_ins)^6,IF(B53=Input!$I$10+84,Input!$I$9*(1+annual_incr_ins)^7,IF(B53=Input!$I$10+96,Input!$I$9*(1+annual_incr_ins)^8,IF(B53=Input!$I$10+108,Input!$I$9*(1+annual_incr_ins)^9,IF(B53=Input!$I$10+120,Input!$I$9*(1+annual_incr_ins)^10,0))))))))))))</f>
        <v>0</v>
      </c>
      <c r="I53" s="139">
        <f>IF(OR(Input!$I$13="",B53&lt;Input!$I$13),0,IF(AND(B53&gt;=Input!$I$13,B53&lt;Input!$I$13+12),Input!$I$12,IF(B53=Input!$I$13+12,Input!$I$12*(1+annual_incr_util),IF(B53=Input!$I$13+24,Input!$I$12*(1+annual_incr_util)^2,IF(B53=Input!$I$13+36,Input!$I$12*(1+annual_incr_util)^3,IF(B53=Input!$I$13+48,Input!$I$12*(1+annual_incr_util)^4,IF(B53=Input!$I$13+60,Input!$I$12*(1+annual_incr_util)^5,IF(B53=Input!$I$13+72,Input!$I$12*(1+annual_incr_util)^6,IF(B53=Input!$I$13+84,Input!$I$12*(1+annual_incr_util)^7,IF(B53=Input!$I$13+96,Input!$I$12*(1+annual_incr_util)^8,IF(B53=Input!$I$13+108,Input!$I$12*(1+annual_incr_util)^9,IF(B53=Input!$I$13+120,Input!$I$12*(1+annual_incr_util)^10,I52))))))))))))</f>
        <v>495.31638515624991</v>
      </c>
      <c r="J53" s="139">
        <f>IF(Input!$I$16="",0,IF(B53=Input!$I$16,Input!$I$15,IF(B53=Input!$I$16+12,Input!$I$15*(1+annual_incr_advtg),IF(B53=Input!$I$16+24,Input!$I$15*(1+annual_incr_advtg)^2,IF(B53=Input!$I$16+36,Input!$I$15*(1+annual_incr_advtg)^3,IF(B53=Input!$I$16+48,Input!$I$15*(1+annual_incr_advtg)^4,IF(B53=Input!$I$16+60,Input!$I$15*(1+annual_incr_advtg)^5,IF(B53=Input!$I$16+72,Input!$I$15*(1+annual_incr_advtg)^6,IF(B53=Input!$I$16+84,Input!$I$15*(1+annual_incr_advtg)^7,IF(B53=Input!$I$16+96,Input!$I$15*(1+annual_incr_advtg)^8,IF(B53=Input!$I$16+108,Input!$I$15*(1+annual_incr_advtg)^9,IF(B53=Input!$I$16+120,Input!$I$15*(1+annual_incr_advtg)^10,0))))))))))))</f>
        <v>0</v>
      </c>
      <c r="K53" s="139">
        <f>IF(Input!$I$19="",0,IF(B53=Input!$I$19,Input!$I$18,IF(B53=Input!$I$19+12,Input!$I$18*(1+annual_incr_other1),IF(B53=Input!$I$19+24,Input!$I$18*(1+annual_incr_other1)^2,IF(B53=Input!$I$19+36,Input!$I$18*(1+annual_incr_other1)^3,IF(B53=Input!$I$19+48,Input!$I$18*(1+annual_incr_other1)^4,IF(B53=Input!$I$19+60,Input!$I$18*(1+annual_incr_other1)^5,IF(B53=Input!$I$19+72,Input!$I$18*(1+annual_incr_other1)^6,IF(B53=Input!$I$19+84,Input!$I$18*(1+annual_incr_other1)^7,IF(B53=Input!$I$19+96,Input!$I$18*(1+annual_incr_other1)^8,IF(B53=Input!$I$19+108,Input!$I$18*(1+annual_incr_other1)^9,IF(B53=Input!$I$19+120,Input!$I$18*(1+annual_incr_other1)^10,0))))))))))))</f>
        <v>0</v>
      </c>
      <c r="L53" s="156">
        <f>IF(OR(Input!$I$22="",B53&lt;Input!$I$22),0,IF(AND(B53&gt;=Input!$I$22,B53&lt;Input!$I$22+12),Input!$I$21,IF(B53=Input!$I$22+12,Input!$I$21*(1+annual_incr_other2),IF(B53=Input!$I$22+24,Input!$I$21*(1+annual_incr_other2)^2,IF(B53=Input!$I$22+36,Input!$I$21*(1+annual_incr_other2)^3,IF(B53=Input!$I$22+48,Input!$I$21*(1+annual_incr_other2)^4,IF(B53=Input!$I$22+60,Input!$I$21*(1+annual_incr_other2)^5,IF(B53=Input!$I$22+72,Input!$I$21*(1+annual_incr_other2)^6,IF(B53=Input!$I$22+84,Input!$I$21*(1+annual_incr_other2)^7,IF(B53=Input!$I$22+96,Input!$I$21*(1+annual_incr_other2)^8,IF(B53=Input!$I$22+108,Input!$I$21*(1+annual_incr_other2)^9,IF(B53=Input!$I$22+120,Input!$I$21*(1+annual_incr_other2)^10,L52))))))))))))</f>
        <v>607.09708984374993</v>
      </c>
      <c r="M53" s="139">
        <f>IF(OR(Input!$I$27="",B53&lt;Input!$I$27),0,E53*mgmt_fee)</f>
        <v>1872.6551999999997</v>
      </c>
      <c r="N53" s="139">
        <f>IF(OR(Input!$I$29="",B53&lt;Input!$I$29),0,E53*repairs_maint)</f>
        <v>2288.8007999999995</v>
      </c>
      <c r="O53" s="149">
        <f>IF(Input!$I$31="",0,IF(OR(B53=Input!$I$31,B53=Input!$I$31+12,B53=Input!$I$31+24,B53=Input!$I$31+36,B53=Input!$I$31+48,B53=Input!$I$31+60,B53=Input!$I$31+72,B53=Input!$I$31+84,B53=Input!$I$31+96,B53=Input!$I$31+108,B53=Input!$I$31+120),E53*other_3,0))</f>
        <v>0</v>
      </c>
      <c r="P53" s="158">
        <f t="shared" si="13"/>
        <v>5263.8694749999995</v>
      </c>
      <c r="Q53" s="159">
        <f t="shared" si="14"/>
        <v>202808.93052499997</v>
      </c>
      <c r="R53" s="160"/>
      <c r="S53" s="161">
        <f>IF(AND(leveraged_property,B53&lt;=amort_period),-IPMT(interest_rate/12,B53,amort_period,loan_amount),0)</f>
        <v>40989.40083025545</v>
      </c>
      <c r="T53" s="149">
        <f t="shared" si="15"/>
        <v>12950.554297709779</v>
      </c>
      <c r="U53" s="149">
        <f>IF(AND(leveraged_property,B53&lt;=amort_period),-PMT(interest_rate/12,amort_period,loan_amount),0)</f>
        <v>53939.95512796523</v>
      </c>
      <c r="V53" s="149">
        <f t="shared" si="37"/>
        <v>8930191.4450307526</v>
      </c>
      <c r="W53" s="160"/>
      <c r="X53" s="149">
        <f t="shared" si="38"/>
        <v>104837.4140625</v>
      </c>
      <c r="Y53" s="162">
        <f t="shared" si="39"/>
        <v>24255184.117500018</v>
      </c>
      <c r="Z53" s="156">
        <f t="shared" si="27"/>
        <v>28127468.978408188</v>
      </c>
      <c r="AA53" s="163">
        <f t="shared" ca="1" si="28"/>
        <v>28127468.978408188</v>
      </c>
      <c r="AB53" s="160"/>
      <c r="AC53" s="164">
        <f>Input!$C$25/12</f>
        <v>26538.461538461535</v>
      </c>
      <c r="AD53" s="139">
        <f t="shared" si="29"/>
        <v>135281.068156283</v>
      </c>
      <c r="AE53" s="149">
        <f t="shared" si="30"/>
        <v>40584.3204468849</v>
      </c>
      <c r="AF53" s="139">
        <f ca="1">IF(AA53=0,0,AA53-(total_initial_cost-SUM($AC$5:AC53)))</f>
        <v>8727853.5937928036</v>
      </c>
      <c r="AG53" s="139">
        <f t="shared" ca="1" si="31"/>
        <v>1745570.7187585607</v>
      </c>
      <c r="AH53" s="149">
        <f t="shared" ca="1" si="19"/>
        <v>26381898.259649627</v>
      </c>
      <c r="AI53" s="103"/>
      <c r="AJ53" s="165">
        <f t="shared" ca="1" si="32"/>
        <v>5681898.2596496269</v>
      </c>
      <c r="AK53" s="165">
        <f t="shared" ca="1" si="40"/>
        <v>6845806.9978734851</v>
      </c>
      <c r="AL53" s="300">
        <f t="shared" ca="1" si="41"/>
        <v>0.61123276766727541</v>
      </c>
      <c r="AM53" s="300">
        <f t="shared" si="42"/>
        <v>0.12273906856743184</v>
      </c>
      <c r="AN53" s="300">
        <f t="shared" si="43"/>
        <v>9.7679083550281126E-2</v>
      </c>
      <c r="AO53" s="301">
        <f>IF(leveraged_property,SUM(Q42:Q53)/SUM(U42:U53),"N/A")</f>
        <v>3.1237775175099802</v>
      </c>
      <c r="AP53" s="103"/>
      <c r="AQ53" s="149">
        <f t="shared" si="20"/>
        <v>148868.97539703475</v>
      </c>
      <c r="AR53" s="149">
        <f t="shared" ca="1" si="33"/>
        <v>19346146.508774471</v>
      </c>
      <c r="AS53" s="288">
        <f ca="1">IF(down_payment&lt;=0,"N/A",IRR(($AQ$4:AQ52,AR53),))</f>
        <v>1.794293545336317E-2</v>
      </c>
      <c r="AT53" s="290">
        <f t="shared" ca="1" si="34"/>
        <v>0.23788754254114952</v>
      </c>
      <c r="AU53" s="288">
        <f ca="1">IF(down_payment&lt;=0,"N/A",MIRR(($AQ$4:AQ52,AR53),finance_rate,reinvestment_rate))</f>
        <v>1.7521405116529776E-2</v>
      </c>
      <c r="AV53" s="290">
        <f t="shared" ca="1" si="35"/>
        <v>0.23175021993253253</v>
      </c>
      <c r="AW53" s="103"/>
      <c r="AX53" s="152" t="str">
        <f t="shared" si="36"/>
        <v/>
      </c>
      <c r="AY53" s="296" t="str">
        <f>IF(AND(B53=$BA$4,OR(down_payment&lt;=0,purchase_date="")),"N/A",IF(B53=$BA$4,XIRR(AX$4:AX53,A$4:A53),""))</f>
        <v/>
      </c>
      <c r="BA53" s="178"/>
    </row>
    <row r="54" spans="1:53">
      <c r="A54" s="137">
        <f t="shared" si="21"/>
        <v>41685</v>
      </c>
      <c r="B54" s="138">
        <f t="shared" si="11"/>
        <v>50</v>
      </c>
      <c r="C54" s="139">
        <f>C53+(C53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54" s="139">
        <f t="shared" si="26"/>
        <v>10951.2</v>
      </c>
      <c r="E54" s="140">
        <f t="shared" si="12"/>
        <v>208072.8</v>
      </c>
      <c r="F54" s="141"/>
      <c r="G54" s="157">
        <f>IF(Input!$I$7="",0,IF(B54=Input!$I$7,Input!$I$6,IF(B54=Input!$I$7+12,Input!$I$6*(1+annual_incr_proptax),IF(B54=Input!$I$7+24,Input!$I$6*(1+annual_incr_proptax)^2,IF(B54=Input!$I$7+36,Input!$I$6*(1+annual_incr_proptax)^3,IF(B54=Input!$I$7+48,Input!$I$6*(1+annual_incr_proptax)^4,IF(B54=Input!$I$7+60,Input!$I$6*(1+annual_incr_proptax)^5,IF(B54=Input!$I$7+72,Input!$I$6*(1+annual_incr_proptax)^6,IF(B54=Input!$I$7+84,Input!$I$6*(1+annual_incr_proptax)^7,IF(B54=Input!$I$7+96,Input!$I$6*(1+annual_incr_proptax)^8,IF(B54=Input!$I$7+108,Input!$I$6*(1+annual_incr_proptax)^9,IF(B54=Input!$I$7+120,Input!$I$6*(1+annual_incr_proptax)^10,0))))))))))))</f>
        <v>53933.581029374982</v>
      </c>
      <c r="H54" s="139">
        <f>IF(Input!$I$10="",0,IF(B54=Input!$I$10,Input!$I$9,IF(B54=Input!$I$10+12,Input!$I$9*(1+annual_incr_ins),IF(B54=Input!$I$10+24,Input!$I$9*(1+annual_incr_ins)^2,IF(B54=Input!$I$10+36,Input!$I$9*(1+annual_incr_ins)^3,IF(B54=Input!$I$10+48,Input!$I$9*(1+annual_incr_ins)^4,IF(B54=Input!$I$10+60,Input!$I$9*(1+annual_incr_ins)^5,IF(B54=Input!$I$10+72,Input!$I$9*(1+annual_incr_ins)^6,IF(B54=Input!$I$10+84,Input!$I$9*(1+annual_incr_ins)^7,IF(B54=Input!$I$10+96,Input!$I$9*(1+annual_incr_ins)^8,IF(B54=Input!$I$10+108,Input!$I$9*(1+annual_incr_ins)^9,IF(B54=Input!$I$10+120,Input!$I$9*(1+annual_incr_ins)^10,0))))))))))))</f>
        <v>0</v>
      </c>
      <c r="I54" s="139">
        <f>IF(OR(Input!$I$13="",B54&lt;Input!$I$13),0,IF(AND(B54&gt;=Input!$I$13,B54&lt;Input!$I$13+12),Input!$I$12,IF(B54=Input!$I$13+12,Input!$I$12*(1+annual_incr_util),IF(B54=Input!$I$13+24,Input!$I$12*(1+annual_incr_util)^2,IF(B54=Input!$I$13+36,Input!$I$12*(1+annual_incr_util)^3,IF(B54=Input!$I$13+48,Input!$I$12*(1+annual_incr_util)^4,IF(B54=Input!$I$13+60,Input!$I$12*(1+annual_incr_util)^5,IF(B54=Input!$I$13+72,Input!$I$12*(1+annual_incr_util)^6,IF(B54=Input!$I$13+84,Input!$I$12*(1+annual_incr_util)^7,IF(B54=Input!$I$13+96,Input!$I$12*(1+annual_incr_util)^8,IF(B54=Input!$I$13+108,Input!$I$12*(1+annual_incr_util)^9,IF(B54=Input!$I$13+120,Input!$I$12*(1+annual_incr_util)^10,I53))))))))))))</f>
        <v>495.31638515624991</v>
      </c>
      <c r="J54" s="139">
        <f>IF(Input!$I$16="",0,IF(B54=Input!$I$16,Input!$I$15,IF(B54=Input!$I$16+12,Input!$I$15*(1+annual_incr_advtg),IF(B54=Input!$I$16+24,Input!$I$15*(1+annual_incr_advtg)^2,IF(B54=Input!$I$16+36,Input!$I$15*(1+annual_incr_advtg)^3,IF(B54=Input!$I$16+48,Input!$I$15*(1+annual_incr_advtg)^4,IF(B54=Input!$I$16+60,Input!$I$15*(1+annual_incr_advtg)^5,IF(B54=Input!$I$16+72,Input!$I$15*(1+annual_incr_advtg)^6,IF(B54=Input!$I$16+84,Input!$I$15*(1+annual_incr_advtg)^7,IF(B54=Input!$I$16+96,Input!$I$15*(1+annual_incr_advtg)^8,IF(B54=Input!$I$16+108,Input!$I$15*(1+annual_incr_advtg)^9,IF(B54=Input!$I$16+120,Input!$I$15*(1+annual_incr_advtg)^10,0))))))))))))</f>
        <v>0</v>
      </c>
      <c r="K54" s="139">
        <f>IF(Input!$I$19="",0,IF(B54=Input!$I$19,Input!$I$18,IF(B54=Input!$I$19+12,Input!$I$18*(1+annual_incr_other1),IF(B54=Input!$I$19+24,Input!$I$18*(1+annual_incr_other1)^2,IF(B54=Input!$I$19+36,Input!$I$18*(1+annual_incr_other1)^3,IF(B54=Input!$I$19+48,Input!$I$18*(1+annual_incr_other1)^4,IF(B54=Input!$I$19+60,Input!$I$18*(1+annual_incr_other1)^5,IF(B54=Input!$I$19+72,Input!$I$18*(1+annual_incr_other1)^6,IF(B54=Input!$I$19+84,Input!$I$18*(1+annual_incr_other1)^7,IF(B54=Input!$I$19+96,Input!$I$18*(1+annual_incr_other1)^8,IF(B54=Input!$I$19+108,Input!$I$18*(1+annual_incr_other1)^9,IF(B54=Input!$I$19+120,Input!$I$18*(1+annual_incr_other1)^10,0))))))))))))</f>
        <v>0</v>
      </c>
      <c r="L54" s="156">
        <f>IF(OR(Input!$I$22="",B54&lt;Input!$I$22),0,IF(AND(B54&gt;=Input!$I$22,B54&lt;Input!$I$22+12),Input!$I$21,IF(B54=Input!$I$22+12,Input!$I$21*(1+annual_incr_other2),IF(B54=Input!$I$22+24,Input!$I$21*(1+annual_incr_other2)^2,IF(B54=Input!$I$22+36,Input!$I$21*(1+annual_incr_other2)^3,IF(B54=Input!$I$22+48,Input!$I$21*(1+annual_incr_other2)^4,IF(B54=Input!$I$22+60,Input!$I$21*(1+annual_incr_other2)^5,IF(B54=Input!$I$22+72,Input!$I$21*(1+annual_incr_other2)^6,IF(B54=Input!$I$22+84,Input!$I$21*(1+annual_incr_other2)^7,IF(B54=Input!$I$22+96,Input!$I$21*(1+annual_incr_other2)^8,IF(B54=Input!$I$22+108,Input!$I$21*(1+annual_incr_other2)^9,IF(B54=Input!$I$22+120,Input!$I$21*(1+annual_incr_other2)^10,L53))))))))))))</f>
        <v>607.09708984374993</v>
      </c>
      <c r="M54" s="139">
        <f>IF(OR(Input!$I$27="",B54&lt;Input!$I$27),0,E54*mgmt_fee)</f>
        <v>1872.6551999999997</v>
      </c>
      <c r="N54" s="139">
        <f>IF(OR(Input!$I$29="",B54&lt;Input!$I$29),0,E54*repairs_maint)</f>
        <v>2288.8007999999995</v>
      </c>
      <c r="O54" s="149">
        <f>IF(Input!$I$31="",0,IF(OR(B54=Input!$I$31,B54=Input!$I$31+12,B54=Input!$I$31+24,B54=Input!$I$31+36,B54=Input!$I$31+48,B54=Input!$I$31+60,B54=Input!$I$31+72,B54=Input!$I$31+84,B54=Input!$I$31+96,B54=Input!$I$31+108,B54=Input!$I$31+120),E54*other_3,0))</f>
        <v>2663.3318399999998</v>
      </c>
      <c r="P54" s="158">
        <f t="shared" si="13"/>
        <v>61860.78234437498</v>
      </c>
      <c r="Q54" s="159">
        <f t="shared" si="14"/>
        <v>146212.01765562501</v>
      </c>
      <c r="R54" s="160"/>
      <c r="S54" s="161">
        <f>IF(AND(leveraged_property,B54&lt;=amort_period),-IPMT(interest_rate/12,B54,amort_period,loan_amount),0)</f>
        <v>40930.044123057618</v>
      </c>
      <c r="T54" s="149">
        <f t="shared" si="15"/>
        <v>13009.911004907612</v>
      </c>
      <c r="U54" s="149">
        <f>IF(AND(leveraged_property,B54&lt;=amort_period),-PMT(interest_rate/12,amort_period,loan_amount),0)</f>
        <v>53939.95512796523</v>
      </c>
      <c r="V54" s="149">
        <f t="shared" si="37"/>
        <v>8917181.5340258442</v>
      </c>
      <c r="W54" s="160"/>
      <c r="X54" s="149">
        <f t="shared" si="38"/>
        <v>104837.4140625</v>
      </c>
      <c r="Y54" s="162">
        <f t="shared" si="39"/>
        <v>24355828.035000019</v>
      </c>
      <c r="Z54" s="156">
        <f t="shared" si="27"/>
        <v>28104441.571858685</v>
      </c>
      <c r="AA54" s="163">
        <f t="shared" ca="1" si="28"/>
        <v>28104441.571858685</v>
      </c>
      <c r="AB54" s="160"/>
      <c r="AC54" s="164">
        <f>Input!$C$25/12</f>
        <v>26538.461538461535</v>
      </c>
      <c r="AD54" s="139">
        <f t="shared" si="29"/>
        <v>78743.511994105851</v>
      </c>
      <c r="AE54" s="149">
        <f t="shared" si="30"/>
        <v>23623.053598231756</v>
      </c>
      <c r="AF54" s="139">
        <f ca="1">IF(AA54=0,0,AA54-(total_initial_cost-SUM($AC$5:AC54)))</f>
        <v>8731364.6487817615</v>
      </c>
      <c r="AG54" s="139">
        <f t="shared" ca="1" si="31"/>
        <v>1746272.9297563524</v>
      </c>
      <c r="AH54" s="149">
        <f t="shared" ca="1" si="19"/>
        <v>26358168.642102335</v>
      </c>
      <c r="AI54" s="103"/>
      <c r="AJ54" s="165">
        <f t="shared" ca="1" si="32"/>
        <v>5658168.6421023346</v>
      </c>
      <c r="AK54" s="165">
        <f t="shared" ca="1" si="40"/>
        <v>6841734.5010196231</v>
      </c>
      <c r="AL54" s="300">
        <f t="shared" ca="1" si="41"/>
        <v>0.61086915187675206</v>
      </c>
      <c r="AM54" s="300">
        <f t="shared" si="42"/>
        <v>0.12518432972250995</v>
      </c>
      <c r="AN54" s="300">
        <f t="shared" si="43"/>
        <v>9.9002123402304062E-2</v>
      </c>
      <c r="AO54" s="301">
        <f>IF(leveraged_property,SUM(Q43:Q54)/SUM(U43:U54),"N/A")</f>
        <v>3.1660883377419444</v>
      </c>
      <c r="AP54" s="103"/>
      <c r="AQ54" s="149">
        <f t="shared" si="20"/>
        <v>92272.062527659786</v>
      </c>
      <c r="AR54" s="149">
        <f t="shared" ca="1" si="33"/>
        <v>19279532.100360502</v>
      </c>
      <c r="AS54" s="288">
        <f ca="1">IF(down_payment&lt;=0,"N/A",IRR(($AQ$4:AQ53,AR54),))</f>
        <v>1.7710776790881341E-2</v>
      </c>
      <c r="AT54" s="290">
        <f t="shared" ca="1" si="34"/>
        <v>0.23450394105342598</v>
      </c>
      <c r="AU54" s="288">
        <f ca="1">IF(down_payment&lt;=0,"N/A",MIRR(($AQ$4:AQ53,AR54),finance_rate,reinvestment_rate))</f>
        <v>1.7313108381848963E-2</v>
      </c>
      <c r="AV54" s="290">
        <f t="shared" ca="1" si="35"/>
        <v>0.22872780638933787</v>
      </c>
      <c r="AW54" s="103"/>
      <c r="AX54" s="152" t="str">
        <f t="shared" si="36"/>
        <v/>
      </c>
      <c r="AY54" s="296" t="str">
        <f>IF(AND(B54=$BA$4,OR(down_payment&lt;=0,purchase_date="")),"N/A",IF(B54=$BA$4,XIRR(AX$4:AX54,A$4:A54),""))</f>
        <v/>
      </c>
      <c r="BA54" s="178"/>
    </row>
    <row r="55" spans="1:53">
      <c r="A55" s="137">
        <f t="shared" si="21"/>
        <v>41713</v>
      </c>
      <c r="B55" s="138">
        <f t="shared" si="11"/>
        <v>51</v>
      </c>
      <c r="C55" s="139">
        <f>C54+(C54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55" s="139">
        <f t="shared" si="26"/>
        <v>10951.2</v>
      </c>
      <c r="E55" s="140">
        <f t="shared" si="12"/>
        <v>208072.8</v>
      </c>
      <c r="F55" s="141"/>
      <c r="G55" s="157">
        <f>IF(Input!$I$7="",0,IF(B55=Input!$I$7,Input!$I$6,IF(B55=Input!$I$7+12,Input!$I$6*(1+annual_incr_proptax),IF(B55=Input!$I$7+24,Input!$I$6*(1+annual_incr_proptax)^2,IF(B55=Input!$I$7+36,Input!$I$6*(1+annual_incr_proptax)^3,IF(B55=Input!$I$7+48,Input!$I$6*(1+annual_incr_proptax)^4,IF(B55=Input!$I$7+60,Input!$I$6*(1+annual_incr_proptax)^5,IF(B55=Input!$I$7+72,Input!$I$6*(1+annual_incr_proptax)^6,IF(B55=Input!$I$7+84,Input!$I$6*(1+annual_incr_proptax)^7,IF(B55=Input!$I$7+96,Input!$I$6*(1+annual_incr_proptax)^8,IF(B55=Input!$I$7+108,Input!$I$6*(1+annual_incr_proptax)^9,IF(B55=Input!$I$7+120,Input!$I$6*(1+annual_incr_proptax)^10,0))))))))))))</f>
        <v>0</v>
      </c>
      <c r="H55" s="139">
        <f>IF(Input!$I$10="",0,IF(B55=Input!$I$10,Input!$I$9,IF(B55=Input!$I$10+12,Input!$I$9*(1+annual_incr_ins),IF(B55=Input!$I$10+24,Input!$I$9*(1+annual_incr_ins)^2,IF(B55=Input!$I$10+36,Input!$I$9*(1+annual_incr_ins)^3,IF(B55=Input!$I$10+48,Input!$I$9*(1+annual_incr_ins)^4,IF(B55=Input!$I$10+60,Input!$I$9*(1+annual_incr_ins)^5,IF(B55=Input!$I$10+72,Input!$I$9*(1+annual_incr_ins)^6,IF(B55=Input!$I$10+84,Input!$I$9*(1+annual_incr_ins)^7,IF(B55=Input!$I$10+96,Input!$I$9*(1+annual_incr_ins)^8,IF(B55=Input!$I$10+108,Input!$I$9*(1+annual_incr_ins)^9,IF(B55=Input!$I$10+120,Input!$I$9*(1+annual_incr_ins)^10,0))))))))))))</f>
        <v>0</v>
      </c>
      <c r="I55" s="139">
        <f>IF(OR(Input!$I$13="",B55&lt;Input!$I$13),0,IF(AND(B55&gt;=Input!$I$13,B55&lt;Input!$I$13+12),Input!$I$12,IF(B55=Input!$I$13+12,Input!$I$12*(1+annual_incr_util),IF(B55=Input!$I$13+24,Input!$I$12*(1+annual_incr_util)^2,IF(B55=Input!$I$13+36,Input!$I$12*(1+annual_incr_util)^3,IF(B55=Input!$I$13+48,Input!$I$12*(1+annual_incr_util)^4,IF(B55=Input!$I$13+60,Input!$I$12*(1+annual_incr_util)^5,IF(B55=Input!$I$13+72,Input!$I$12*(1+annual_incr_util)^6,IF(B55=Input!$I$13+84,Input!$I$12*(1+annual_incr_util)^7,IF(B55=Input!$I$13+96,Input!$I$12*(1+annual_incr_util)^8,IF(B55=Input!$I$13+108,Input!$I$12*(1+annual_incr_util)^9,IF(B55=Input!$I$13+120,Input!$I$12*(1+annual_incr_util)^10,I54))))))))))))</f>
        <v>495.31638515624991</v>
      </c>
      <c r="J55" s="139">
        <f>IF(Input!$I$16="",0,IF(B55=Input!$I$16,Input!$I$15,IF(B55=Input!$I$16+12,Input!$I$15*(1+annual_incr_advtg),IF(B55=Input!$I$16+24,Input!$I$15*(1+annual_incr_advtg)^2,IF(B55=Input!$I$16+36,Input!$I$15*(1+annual_incr_advtg)^3,IF(B55=Input!$I$16+48,Input!$I$15*(1+annual_incr_advtg)^4,IF(B55=Input!$I$16+60,Input!$I$15*(1+annual_incr_advtg)^5,IF(B55=Input!$I$16+72,Input!$I$15*(1+annual_incr_advtg)^6,IF(B55=Input!$I$16+84,Input!$I$15*(1+annual_incr_advtg)^7,IF(B55=Input!$I$16+96,Input!$I$15*(1+annual_incr_advtg)^8,IF(B55=Input!$I$16+108,Input!$I$15*(1+annual_incr_advtg)^9,IF(B55=Input!$I$16+120,Input!$I$15*(1+annual_incr_advtg)^10,0))))))))))))</f>
        <v>0</v>
      </c>
      <c r="K55" s="139">
        <f>IF(Input!$I$19="",0,IF(B55=Input!$I$19,Input!$I$18,IF(B55=Input!$I$19+12,Input!$I$18*(1+annual_incr_other1),IF(B55=Input!$I$19+24,Input!$I$18*(1+annual_incr_other1)^2,IF(B55=Input!$I$19+36,Input!$I$18*(1+annual_incr_other1)^3,IF(B55=Input!$I$19+48,Input!$I$18*(1+annual_incr_other1)^4,IF(B55=Input!$I$19+60,Input!$I$18*(1+annual_incr_other1)^5,IF(B55=Input!$I$19+72,Input!$I$18*(1+annual_incr_other1)^6,IF(B55=Input!$I$19+84,Input!$I$18*(1+annual_incr_other1)^7,IF(B55=Input!$I$19+96,Input!$I$18*(1+annual_incr_other1)^8,IF(B55=Input!$I$19+108,Input!$I$18*(1+annual_incr_other1)^9,IF(B55=Input!$I$19+120,Input!$I$18*(1+annual_incr_other1)^10,0))))))))))))</f>
        <v>0</v>
      </c>
      <c r="L55" s="156">
        <f>IF(OR(Input!$I$22="",B55&lt;Input!$I$22),0,IF(AND(B55&gt;=Input!$I$22,B55&lt;Input!$I$22+12),Input!$I$21,IF(B55=Input!$I$22+12,Input!$I$21*(1+annual_incr_other2),IF(B55=Input!$I$22+24,Input!$I$21*(1+annual_incr_other2)^2,IF(B55=Input!$I$22+36,Input!$I$21*(1+annual_incr_other2)^3,IF(B55=Input!$I$22+48,Input!$I$21*(1+annual_incr_other2)^4,IF(B55=Input!$I$22+60,Input!$I$21*(1+annual_incr_other2)^5,IF(B55=Input!$I$22+72,Input!$I$21*(1+annual_incr_other2)^6,IF(B55=Input!$I$22+84,Input!$I$21*(1+annual_incr_other2)^7,IF(B55=Input!$I$22+96,Input!$I$21*(1+annual_incr_other2)^8,IF(B55=Input!$I$22+108,Input!$I$21*(1+annual_incr_other2)^9,IF(B55=Input!$I$22+120,Input!$I$21*(1+annual_incr_other2)^10,L54))))))))))))</f>
        <v>607.09708984374993</v>
      </c>
      <c r="M55" s="139">
        <f>IF(OR(Input!$I$27="",B55&lt;Input!$I$27),0,E55*mgmt_fee)</f>
        <v>1872.6551999999997</v>
      </c>
      <c r="N55" s="139">
        <f>IF(OR(Input!$I$29="",B55&lt;Input!$I$29),0,E55*repairs_maint)</f>
        <v>2288.8007999999995</v>
      </c>
      <c r="O55" s="149">
        <f>IF(Input!$I$31="",0,IF(OR(B55=Input!$I$31,B55=Input!$I$31+12,B55=Input!$I$31+24,B55=Input!$I$31+36,B55=Input!$I$31+48,B55=Input!$I$31+60,B55=Input!$I$31+72,B55=Input!$I$31+84,B55=Input!$I$31+96,B55=Input!$I$31+108,B55=Input!$I$31+120),E55*other_3,0))</f>
        <v>0</v>
      </c>
      <c r="P55" s="158">
        <f t="shared" si="13"/>
        <v>5263.8694749999995</v>
      </c>
      <c r="Q55" s="159">
        <f t="shared" si="14"/>
        <v>202808.93052499997</v>
      </c>
      <c r="R55" s="160"/>
      <c r="S55" s="161">
        <f>IF(AND(leveraged_property,B55&lt;=amort_period),-IPMT(interest_rate/12,B55,amort_period,loan_amount),0)</f>
        <v>40870.415364285116</v>
      </c>
      <c r="T55" s="149">
        <f t="shared" si="15"/>
        <v>13069.539763680114</v>
      </c>
      <c r="U55" s="149">
        <f>IF(AND(leveraged_property,B55&lt;=amort_period),-PMT(interest_rate/12,amort_period,loan_amount),0)</f>
        <v>53939.95512796523</v>
      </c>
      <c r="V55" s="149">
        <f t="shared" si="37"/>
        <v>8904111.9942621645</v>
      </c>
      <c r="W55" s="160"/>
      <c r="X55" s="149">
        <f t="shared" si="38"/>
        <v>104837.4140625</v>
      </c>
      <c r="Y55" s="162">
        <f t="shared" si="39"/>
        <v>24456471.952500019</v>
      </c>
      <c r="Z55" s="156">
        <f t="shared" si="27"/>
        <v>28104066.269341521</v>
      </c>
      <c r="AA55" s="163">
        <f t="shared" ca="1" si="28"/>
        <v>28104066.269341521</v>
      </c>
      <c r="AB55" s="160"/>
      <c r="AC55" s="164">
        <f>Input!$C$25/12</f>
        <v>26538.461538461535</v>
      </c>
      <c r="AD55" s="139">
        <f t="shared" si="29"/>
        <v>135400.05362225333</v>
      </c>
      <c r="AE55" s="149">
        <f t="shared" si="30"/>
        <v>40620.016086675998</v>
      </c>
      <c r="AF55" s="139">
        <f ca="1">IF(AA55=0,0,AA55-(total_initial_cost-SUM($AC$5:AC55)))</f>
        <v>8757527.8078030571</v>
      </c>
      <c r="AG55" s="139">
        <f t="shared" ca="1" si="31"/>
        <v>1751505.5615606115</v>
      </c>
      <c r="AH55" s="149">
        <f t="shared" ca="1" si="19"/>
        <v>26352560.707780909</v>
      </c>
      <c r="AI55" s="103"/>
      <c r="AJ55" s="165">
        <f t="shared" ca="1" si="32"/>
        <v>5652560.7077809088</v>
      </c>
      <c r="AK55" s="165">
        <f t="shared" ca="1" si="40"/>
        <v>6857333.4906650297</v>
      </c>
      <c r="AL55" s="300">
        <f t="shared" ca="1" si="41"/>
        <v>0.61226191880937764</v>
      </c>
      <c r="AM55" s="300">
        <f t="shared" si="42"/>
        <v>0.12782698558690728</v>
      </c>
      <c r="AN55" s="300">
        <f t="shared" si="43"/>
        <v>0.10043196618883789</v>
      </c>
      <c r="AO55" s="301">
        <f>IF(leveraged_property,SUM(Q44:Q55)/SUM(U44:U55),"N/A")</f>
        <v>3.21181471628489</v>
      </c>
      <c r="AP55" s="103"/>
      <c r="AQ55" s="149">
        <f t="shared" si="20"/>
        <v>148868.97539703475</v>
      </c>
      <c r="AR55" s="149">
        <f t="shared" ca="1" si="33"/>
        <v>19348823.25047639</v>
      </c>
      <c r="AS55" s="288">
        <f ca="1">IF(down_payment&lt;=0,"N/A",IRR(($AQ$4:AQ54,AR55),))</f>
        <v>1.7556730239956991E-2</v>
      </c>
      <c r="AT55" s="290">
        <f t="shared" ca="1" si="34"/>
        <v>0.2322634675658799</v>
      </c>
      <c r="AU55" s="288">
        <f ca="1">IF(down_payment&lt;=0,"N/A",MIRR(($AQ$4:AQ54,AR55),finance_rate,reinvestment_rate))</f>
        <v>1.7173585334514962E-2</v>
      </c>
      <c r="AV55" s="290">
        <f t="shared" ca="1" si="35"/>
        <v>0.22670711181370251</v>
      </c>
      <c r="AW55" s="103"/>
      <c r="AX55" s="152" t="str">
        <f t="shared" si="36"/>
        <v/>
      </c>
      <c r="AY55" s="296" t="str">
        <f>IF(AND(B55=$BA$4,OR(down_payment&lt;=0,purchase_date="")),"N/A",IF(B55=$BA$4,XIRR(AX$4:AX55,A$4:A55),""))</f>
        <v/>
      </c>
      <c r="BA55" s="178"/>
    </row>
    <row r="56" spans="1:53">
      <c r="A56" s="137">
        <f t="shared" si="21"/>
        <v>41744</v>
      </c>
      <c r="B56" s="138">
        <f t="shared" si="11"/>
        <v>52</v>
      </c>
      <c r="C56" s="139">
        <f>C55+(C55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56" s="139">
        <f t="shared" si="26"/>
        <v>10951.2</v>
      </c>
      <c r="E56" s="140">
        <f t="shared" si="12"/>
        <v>208072.8</v>
      </c>
      <c r="F56" s="141"/>
      <c r="G56" s="157">
        <f>IF(Input!$I$7="",0,IF(B56=Input!$I$7,Input!$I$6,IF(B56=Input!$I$7+12,Input!$I$6*(1+annual_incr_proptax),IF(B56=Input!$I$7+24,Input!$I$6*(1+annual_incr_proptax)^2,IF(B56=Input!$I$7+36,Input!$I$6*(1+annual_incr_proptax)^3,IF(B56=Input!$I$7+48,Input!$I$6*(1+annual_incr_proptax)^4,IF(B56=Input!$I$7+60,Input!$I$6*(1+annual_incr_proptax)^5,IF(B56=Input!$I$7+72,Input!$I$6*(1+annual_incr_proptax)^6,IF(B56=Input!$I$7+84,Input!$I$6*(1+annual_incr_proptax)^7,IF(B56=Input!$I$7+96,Input!$I$6*(1+annual_incr_proptax)^8,IF(B56=Input!$I$7+108,Input!$I$6*(1+annual_incr_proptax)^9,IF(B56=Input!$I$7+120,Input!$I$6*(1+annual_incr_proptax)^10,0))))))))))))</f>
        <v>0</v>
      </c>
      <c r="H56" s="139">
        <f>IF(Input!$I$10="",0,IF(B56=Input!$I$10,Input!$I$9,IF(B56=Input!$I$10+12,Input!$I$9*(1+annual_incr_ins),IF(B56=Input!$I$10+24,Input!$I$9*(1+annual_incr_ins)^2,IF(B56=Input!$I$10+36,Input!$I$9*(1+annual_incr_ins)^3,IF(B56=Input!$I$10+48,Input!$I$9*(1+annual_incr_ins)^4,IF(B56=Input!$I$10+60,Input!$I$9*(1+annual_incr_ins)^5,IF(B56=Input!$I$10+72,Input!$I$9*(1+annual_incr_ins)^6,IF(B56=Input!$I$10+84,Input!$I$9*(1+annual_incr_ins)^7,IF(B56=Input!$I$10+96,Input!$I$9*(1+annual_incr_ins)^8,IF(B56=Input!$I$10+108,Input!$I$9*(1+annual_incr_ins)^9,IF(B56=Input!$I$10+120,Input!$I$9*(1+annual_incr_ins)^10,0))))))))))))</f>
        <v>0</v>
      </c>
      <c r="I56" s="139">
        <f>IF(OR(Input!$I$13="",B56&lt;Input!$I$13),0,IF(AND(B56&gt;=Input!$I$13,B56&lt;Input!$I$13+12),Input!$I$12,IF(B56=Input!$I$13+12,Input!$I$12*(1+annual_incr_util),IF(B56=Input!$I$13+24,Input!$I$12*(1+annual_incr_util)^2,IF(B56=Input!$I$13+36,Input!$I$12*(1+annual_incr_util)^3,IF(B56=Input!$I$13+48,Input!$I$12*(1+annual_incr_util)^4,IF(B56=Input!$I$13+60,Input!$I$12*(1+annual_incr_util)^5,IF(B56=Input!$I$13+72,Input!$I$12*(1+annual_incr_util)^6,IF(B56=Input!$I$13+84,Input!$I$12*(1+annual_incr_util)^7,IF(B56=Input!$I$13+96,Input!$I$12*(1+annual_incr_util)^8,IF(B56=Input!$I$13+108,Input!$I$12*(1+annual_incr_util)^9,IF(B56=Input!$I$13+120,Input!$I$12*(1+annual_incr_util)^10,I55))))))))))))</f>
        <v>511.4141676738281</v>
      </c>
      <c r="J56" s="139">
        <f>IF(Input!$I$16="",0,IF(B56=Input!$I$16,Input!$I$15,IF(B56=Input!$I$16+12,Input!$I$15*(1+annual_incr_advtg),IF(B56=Input!$I$16+24,Input!$I$15*(1+annual_incr_advtg)^2,IF(B56=Input!$I$16+36,Input!$I$15*(1+annual_incr_advtg)^3,IF(B56=Input!$I$16+48,Input!$I$15*(1+annual_incr_advtg)^4,IF(B56=Input!$I$16+60,Input!$I$15*(1+annual_incr_advtg)^5,IF(B56=Input!$I$16+72,Input!$I$15*(1+annual_incr_advtg)^6,IF(B56=Input!$I$16+84,Input!$I$15*(1+annual_incr_advtg)^7,IF(B56=Input!$I$16+96,Input!$I$15*(1+annual_incr_advtg)^8,IF(B56=Input!$I$16+108,Input!$I$15*(1+annual_incr_advtg)^9,IF(B56=Input!$I$16+120,Input!$I$15*(1+annual_incr_advtg)^10,0))))))))))))</f>
        <v>0</v>
      </c>
      <c r="K56" s="139">
        <f>IF(Input!$I$19="",0,IF(B56=Input!$I$19,Input!$I$18,IF(B56=Input!$I$19+12,Input!$I$18*(1+annual_incr_other1),IF(B56=Input!$I$19+24,Input!$I$18*(1+annual_incr_other1)^2,IF(B56=Input!$I$19+36,Input!$I$18*(1+annual_incr_other1)^3,IF(B56=Input!$I$19+48,Input!$I$18*(1+annual_incr_other1)^4,IF(B56=Input!$I$19+60,Input!$I$18*(1+annual_incr_other1)^5,IF(B56=Input!$I$19+72,Input!$I$18*(1+annual_incr_other1)^6,IF(B56=Input!$I$19+84,Input!$I$18*(1+annual_incr_other1)^7,IF(B56=Input!$I$19+96,Input!$I$18*(1+annual_incr_other1)^8,IF(B56=Input!$I$19+108,Input!$I$18*(1+annual_incr_other1)^9,IF(B56=Input!$I$19+120,Input!$I$18*(1+annual_incr_other1)^10,0))))))))))))</f>
        <v>0</v>
      </c>
      <c r="L56" s="156">
        <f>IF(OR(Input!$I$22="",B56&lt;Input!$I$22),0,IF(AND(B56&gt;=Input!$I$22,B56&lt;Input!$I$22+12),Input!$I$21,IF(B56=Input!$I$22+12,Input!$I$21*(1+annual_incr_other2),IF(B56=Input!$I$22+24,Input!$I$21*(1+annual_incr_other2)^2,IF(B56=Input!$I$22+36,Input!$I$21*(1+annual_incr_other2)^3,IF(B56=Input!$I$22+48,Input!$I$21*(1+annual_incr_other2)^4,IF(B56=Input!$I$22+60,Input!$I$21*(1+annual_incr_other2)^5,IF(B56=Input!$I$22+72,Input!$I$21*(1+annual_incr_other2)^6,IF(B56=Input!$I$22+84,Input!$I$21*(1+annual_incr_other2)^7,IF(B56=Input!$I$22+96,Input!$I$21*(1+annual_incr_other2)^8,IF(B56=Input!$I$22+108,Input!$I$21*(1+annual_incr_other2)^9,IF(B56=Input!$I$22+120,Input!$I$21*(1+annual_incr_other2)^10,L55))))))))))))</f>
        <v>607.09708984374993</v>
      </c>
      <c r="M56" s="139">
        <f>IF(OR(Input!$I$27="",B56&lt;Input!$I$27),0,E56*mgmt_fee)</f>
        <v>1872.6551999999997</v>
      </c>
      <c r="N56" s="139">
        <f>IF(OR(Input!$I$29="",B56&lt;Input!$I$29),0,E56*repairs_maint)</f>
        <v>2288.8007999999995</v>
      </c>
      <c r="O56" s="149">
        <f>IF(Input!$I$31="",0,IF(OR(B56=Input!$I$31,B56=Input!$I$31+12,B56=Input!$I$31+24,B56=Input!$I$31+36,B56=Input!$I$31+48,B56=Input!$I$31+60,B56=Input!$I$31+72,B56=Input!$I$31+84,B56=Input!$I$31+96,B56=Input!$I$31+108,B56=Input!$I$31+120),E56*other_3,0))</f>
        <v>0</v>
      </c>
      <c r="P56" s="158">
        <f t="shared" si="13"/>
        <v>5279.9672575175773</v>
      </c>
      <c r="Q56" s="159">
        <f t="shared" si="14"/>
        <v>202792.83274248242</v>
      </c>
      <c r="R56" s="160"/>
      <c r="S56" s="161">
        <f>IF(AND(leveraged_property,B56&lt;=amort_period),-IPMT(interest_rate/12,B56,amort_period,loan_amount),0)</f>
        <v>40810.513307034918</v>
      </c>
      <c r="T56" s="149">
        <f t="shared" si="15"/>
        <v>13129.441820930311</v>
      </c>
      <c r="U56" s="149">
        <f>IF(AND(leveraged_property,B56&lt;=amort_period),-PMT(interest_rate/12,amort_period,loan_amount),0)</f>
        <v>53939.95512796523</v>
      </c>
      <c r="V56" s="149">
        <f t="shared" si="37"/>
        <v>8890982.5524412338</v>
      </c>
      <c r="W56" s="160"/>
      <c r="X56" s="149">
        <f t="shared" si="38"/>
        <v>104837.4140625</v>
      </c>
      <c r="Y56" s="162">
        <f t="shared" si="39"/>
        <v>24557115.87000002</v>
      </c>
      <c r="Z56" s="156">
        <f t="shared" si="27"/>
        <v>28103684.68868918</v>
      </c>
      <c r="AA56" s="163">
        <f t="shared" ca="1" si="28"/>
        <v>28103684.68868918</v>
      </c>
      <c r="AB56" s="160"/>
      <c r="AC56" s="164">
        <f>Input!$C$25/12</f>
        <v>26538.461538461535</v>
      </c>
      <c r="AD56" s="139">
        <f t="shared" si="29"/>
        <v>135443.85789698598</v>
      </c>
      <c r="AE56" s="149">
        <f t="shared" si="30"/>
        <v>40633.157369095796</v>
      </c>
      <c r="AF56" s="139">
        <f ca="1">IF(AA56=0,0,AA56-(total_initial_cost-SUM($AC$5:AC56)))</f>
        <v>8783684.6886891797</v>
      </c>
      <c r="AG56" s="139">
        <f t="shared" ca="1" si="31"/>
        <v>1756736.937737836</v>
      </c>
      <c r="AH56" s="149">
        <f t="shared" ca="1" si="19"/>
        <v>26346947.750951342</v>
      </c>
      <c r="AI56" s="103"/>
      <c r="AJ56" s="165">
        <f t="shared" ca="1" si="32"/>
        <v>5646947.7509513423</v>
      </c>
      <c r="AK56" s="165">
        <f t="shared" ca="1" si="40"/>
        <v>6872929.3420728464</v>
      </c>
      <c r="AL56" s="300">
        <f t="shared" ca="1" si="41"/>
        <v>0.6136544055422184</v>
      </c>
      <c r="AM56" s="300">
        <f t="shared" si="42"/>
        <v>0.1304695962093527</v>
      </c>
      <c r="AN56" s="300">
        <f t="shared" si="43"/>
        <v>0.10186178449663444</v>
      </c>
      <c r="AO56" s="301">
        <f>IF(leveraged_property,SUM(Q45:Q56)/SUM(U45:U56),"N/A")</f>
        <v>3.2575403119977113</v>
      </c>
      <c r="AP56" s="103"/>
      <c r="AQ56" s="149">
        <f t="shared" si="20"/>
        <v>148852.8776145172</v>
      </c>
      <c r="AR56" s="149">
        <f t="shared" ca="1" si="33"/>
        <v>19361555.013862461</v>
      </c>
      <c r="AS56" s="288">
        <f ca="1">IF(down_payment&lt;=0,"N/A",IRR(($AQ$4:AQ55,AR56),))</f>
        <v>1.7408926772810331E-2</v>
      </c>
      <c r="AT56" s="290">
        <f t="shared" ca="1" si="34"/>
        <v>0.23011729872855868</v>
      </c>
      <c r="AU56" s="288">
        <f ca="1">IF(down_payment&lt;=0,"N/A",MIRR(($AQ$4:AQ55,AR56),finance_rate,reinvestment_rate))</f>
        <v>1.7040271727860823E-2</v>
      </c>
      <c r="AV56" s="290">
        <f t="shared" ca="1" si="35"/>
        <v>0.22477919407942926</v>
      </c>
      <c r="AW56" s="103"/>
      <c r="AX56" s="152" t="str">
        <f t="shared" si="36"/>
        <v/>
      </c>
      <c r="AY56" s="296" t="str">
        <f>IF(AND(B56=$BA$4,OR(down_payment&lt;=0,purchase_date="")),"N/A",IF(B56=$BA$4,XIRR(AX$4:AX56,A$4:A56),""))</f>
        <v/>
      </c>
      <c r="BA56" s="178"/>
    </row>
    <row r="57" spans="1:53">
      <c r="A57" s="137">
        <f t="shared" si="21"/>
        <v>41774</v>
      </c>
      <c r="B57" s="138">
        <f t="shared" si="11"/>
        <v>53</v>
      </c>
      <c r="C57" s="139">
        <f>C56+(C56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57" s="139">
        <f t="shared" si="26"/>
        <v>10951.2</v>
      </c>
      <c r="E57" s="140">
        <f t="shared" si="12"/>
        <v>208072.8</v>
      </c>
      <c r="F57" s="141"/>
      <c r="G57" s="157">
        <f>IF(Input!$I$7="",0,IF(B57=Input!$I$7,Input!$I$6,IF(B57=Input!$I$7+12,Input!$I$6*(1+annual_incr_proptax),IF(B57=Input!$I$7+24,Input!$I$6*(1+annual_incr_proptax)^2,IF(B57=Input!$I$7+36,Input!$I$6*(1+annual_incr_proptax)^3,IF(B57=Input!$I$7+48,Input!$I$6*(1+annual_incr_proptax)^4,IF(B57=Input!$I$7+60,Input!$I$6*(1+annual_incr_proptax)^5,IF(B57=Input!$I$7+72,Input!$I$6*(1+annual_incr_proptax)^6,IF(B57=Input!$I$7+84,Input!$I$6*(1+annual_incr_proptax)^7,IF(B57=Input!$I$7+96,Input!$I$6*(1+annual_incr_proptax)^8,IF(B57=Input!$I$7+108,Input!$I$6*(1+annual_incr_proptax)^9,IF(B57=Input!$I$7+120,Input!$I$6*(1+annual_incr_proptax)^10,0))))))))))))</f>
        <v>0</v>
      </c>
      <c r="H57" s="139">
        <f>IF(Input!$I$10="",0,IF(B57=Input!$I$10,Input!$I$9,IF(B57=Input!$I$10+12,Input!$I$9*(1+annual_incr_ins),IF(B57=Input!$I$10+24,Input!$I$9*(1+annual_incr_ins)^2,IF(B57=Input!$I$10+36,Input!$I$9*(1+annual_incr_ins)^3,IF(B57=Input!$I$10+48,Input!$I$9*(1+annual_incr_ins)^4,IF(B57=Input!$I$10+60,Input!$I$9*(1+annual_incr_ins)^5,IF(B57=Input!$I$10+72,Input!$I$9*(1+annual_incr_ins)^6,IF(B57=Input!$I$10+84,Input!$I$9*(1+annual_incr_ins)^7,IF(B57=Input!$I$10+96,Input!$I$9*(1+annual_incr_ins)^8,IF(B57=Input!$I$10+108,Input!$I$9*(1+annual_incr_ins)^9,IF(B57=Input!$I$10+120,Input!$I$9*(1+annual_incr_ins)^10,0))))))))))))</f>
        <v>0</v>
      </c>
      <c r="I57" s="139">
        <f>IF(OR(Input!$I$13="",B57&lt;Input!$I$13),0,IF(AND(B57&gt;=Input!$I$13,B57&lt;Input!$I$13+12),Input!$I$12,IF(B57=Input!$I$13+12,Input!$I$12*(1+annual_incr_util),IF(B57=Input!$I$13+24,Input!$I$12*(1+annual_incr_util)^2,IF(B57=Input!$I$13+36,Input!$I$12*(1+annual_incr_util)^3,IF(B57=Input!$I$13+48,Input!$I$12*(1+annual_incr_util)^4,IF(B57=Input!$I$13+60,Input!$I$12*(1+annual_incr_util)^5,IF(B57=Input!$I$13+72,Input!$I$12*(1+annual_incr_util)^6,IF(B57=Input!$I$13+84,Input!$I$12*(1+annual_incr_util)^7,IF(B57=Input!$I$13+96,Input!$I$12*(1+annual_incr_util)^8,IF(B57=Input!$I$13+108,Input!$I$12*(1+annual_incr_util)^9,IF(B57=Input!$I$13+120,Input!$I$12*(1+annual_incr_util)^10,I56))))))))))))</f>
        <v>511.4141676738281</v>
      </c>
      <c r="J57" s="139">
        <f>IF(Input!$I$16="",0,IF(B57=Input!$I$16,Input!$I$15,IF(B57=Input!$I$16+12,Input!$I$15*(1+annual_incr_advtg),IF(B57=Input!$I$16+24,Input!$I$15*(1+annual_incr_advtg)^2,IF(B57=Input!$I$16+36,Input!$I$15*(1+annual_incr_advtg)^3,IF(B57=Input!$I$16+48,Input!$I$15*(1+annual_incr_advtg)^4,IF(B57=Input!$I$16+60,Input!$I$15*(1+annual_incr_advtg)^5,IF(B57=Input!$I$16+72,Input!$I$15*(1+annual_incr_advtg)^6,IF(B57=Input!$I$16+84,Input!$I$15*(1+annual_incr_advtg)^7,IF(B57=Input!$I$16+96,Input!$I$15*(1+annual_incr_advtg)^8,IF(B57=Input!$I$16+108,Input!$I$15*(1+annual_incr_advtg)^9,IF(B57=Input!$I$16+120,Input!$I$15*(1+annual_incr_advtg)^10,0))))))))))))</f>
        <v>0</v>
      </c>
      <c r="K57" s="139">
        <f>IF(Input!$I$19="",0,IF(B57=Input!$I$19,Input!$I$18,IF(B57=Input!$I$19+12,Input!$I$18*(1+annual_incr_other1),IF(B57=Input!$I$19+24,Input!$I$18*(1+annual_incr_other1)^2,IF(B57=Input!$I$19+36,Input!$I$18*(1+annual_incr_other1)^3,IF(B57=Input!$I$19+48,Input!$I$18*(1+annual_incr_other1)^4,IF(B57=Input!$I$19+60,Input!$I$18*(1+annual_incr_other1)^5,IF(B57=Input!$I$19+72,Input!$I$18*(1+annual_incr_other1)^6,IF(B57=Input!$I$19+84,Input!$I$18*(1+annual_incr_other1)^7,IF(B57=Input!$I$19+96,Input!$I$18*(1+annual_incr_other1)^8,IF(B57=Input!$I$19+108,Input!$I$18*(1+annual_incr_other1)^9,IF(B57=Input!$I$19+120,Input!$I$18*(1+annual_incr_other1)^10,0))))))))))))</f>
        <v>5264.3635200000008</v>
      </c>
      <c r="L57" s="156">
        <f>IF(OR(Input!$I$22="",B57&lt;Input!$I$22),0,IF(AND(B57&gt;=Input!$I$22,B57&lt;Input!$I$22+12),Input!$I$21,IF(B57=Input!$I$22+12,Input!$I$21*(1+annual_incr_other2),IF(B57=Input!$I$22+24,Input!$I$21*(1+annual_incr_other2)^2,IF(B57=Input!$I$22+36,Input!$I$21*(1+annual_incr_other2)^3,IF(B57=Input!$I$22+48,Input!$I$21*(1+annual_incr_other2)^4,IF(B57=Input!$I$22+60,Input!$I$21*(1+annual_incr_other2)^5,IF(B57=Input!$I$22+72,Input!$I$21*(1+annual_incr_other2)^6,IF(B57=Input!$I$22+84,Input!$I$21*(1+annual_incr_other2)^7,IF(B57=Input!$I$22+96,Input!$I$21*(1+annual_incr_other2)^8,IF(B57=Input!$I$22+108,Input!$I$21*(1+annual_incr_other2)^9,IF(B57=Input!$I$22+120,Input!$I$21*(1+annual_incr_other2)^10,L56))))))))))))</f>
        <v>607.09708984374993</v>
      </c>
      <c r="M57" s="139">
        <f>IF(OR(Input!$I$27="",B57&lt;Input!$I$27),0,E57*mgmt_fee)</f>
        <v>1872.6551999999997</v>
      </c>
      <c r="N57" s="139">
        <f>IF(OR(Input!$I$29="",B57&lt;Input!$I$29),0,E57*repairs_maint)</f>
        <v>2288.8007999999995</v>
      </c>
      <c r="O57" s="149">
        <f>IF(Input!$I$31="",0,IF(OR(B57=Input!$I$31,B57=Input!$I$31+12,B57=Input!$I$31+24,B57=Input!$I$31+36,B57=Input!$I$31+48,B57=Input!$I$31+60,B57=Input!$I$31+72,B57=Input!$I$31+84,B57=Input!$I$31+96,B57=Input!$I$31+108,B57=Input!$I$31+120),E57*other_3,0))</f>
        <v>0</v>
      </c>
      <c r="P57" s="158">
        <f t="shared" si="13"/>
        <v>10544.330777517578</v>
      </c>
      <c r="Q57" s="159">
        <f t="shared" si="14"/>
        <v>197528.46922248241</v>
      </c>
      <c r="R57" s="160"/>
      <c r="S57" s="161">
        <f>IF(AND(leveraged_property,B57&lt;=amort_period),-IPMT(interest_rate/12,B57,amort_period,loan_amount),0)</f>
        <v>40750.336698688989</v>
      </c>
      <c r="T57" s="149">
        <f t="shared" si="15"/>
        <v>13189.618429276241</v>
      </c>
      <c r="U57" s="149">
        <f>IF(AND(leveraged_property,B57&lt;=amort_period),-PMT(interest_rate/12,amort_period,loan_amount),0)</f>
        <v>53939.95512796523</v>
      </c>
      <c r="V57" s="149">
        <f t="shared" si="37"/>
        <v>8877792.9340119567</v>
      </c>
      <c r="W57" s="160"/>
      <c r="X57" s="149">
        <f t="shared" si="38"/>
        <v>104837.4140625</v>
      </c>
      <c r="Y57" s="162">
        <f t="shared" si="39"/>
        <v>24657759.78750002</v>
      </c>
      <c r="Z57" s="156">
        <f t="shared" si="27"/>
        <v>28100776.21354723</v>
      </c>
      <c r="AA57" s="163">
        <f t="shared" ca="1" si="28"/>
        <v>28100776.21354723</v>
      </c>
      <c r="AB57" s="160"/>
      <c r="AC57" s="164">
        <f>Input!$C$25/12</f>
        <v>26538.461538461535</v>
      </c>
      <c r="AD57" s="139">
        <f t="shared" si="29"/>
        <v>130239.6709853319</v>
      </c>
      <c r="AE57" s="149">
        <f t="shared" si="30"/>
        <v>39071.901295599571</v>
      </c>
      <c r="AF57" s="139">
        <f ca="1">IF(AA57=0,0,AA57-(total_initial_cost-SUM($AC$5:AC57)))</f>
        <v>8807314.6750856899</v>
      </c>
      <c r="AG57" s="139">
        <f t="shared" ca="1" si="31"/>
        <v>1761462.935017138</v>
      </c>
      <c r="AH57" s="149">
        <f t="shared" ca="1" si="19"/>
        <v>26339313.278530091</v>
      </c>
      <c r="AI57" s="103"/>
      <c r="AJ57" s="165">
        <f t="shared" ca="1" si="32"/>
        <v>5639313.278530091</v>
      </c>
      <c r="AK57" s="165">
        <f t="shared" ca="1" si="40"/>
        <v>6886364.1942543676</v>
      </c>
      <c r="AL57" s="300">
        <f t="shared" ca="1" si="41"/>
        <v>0.61485394591556852</v>
      </c>
      <c r="AM57" s="300">
        <f t="shared" si="42"/>
        <v>0.13309412866036952</v>
      </c>
      <c r="AN57" s="300">
        <f t="shared" si="43"/>
        <v>0.10328182137834403</v>
      </c>
      <c r="AO57" s="301">
        <f>IF(leveraged_property,SUM(Q46:Q57)/SUM(U46:U57),"N/A")</f>
        <v>3.3029530976616552</v>
      </c>
      <c r="AP57" s="103"/>
      <c r="AQ57" s="149">
        <f t="shared" si="20"/>
        <v>143588.51409451719</v>
      </c>
      <c r="AR57" s="149">
        <f t="shared" ca="1" si="33"/>
        <v>19366571.793629788</v>
      </c>
      <c r="AS57" s="288">
        <f ca="1">IF(down_payment&lt;=0,"N/A",IRR(($AQ$4:AQ56,AR57),))</f>
        <v>1.7260592711104295E-2</v>
      </c>
      <c r="AT57" s="290">
        <f t="shared" ca="1" si="34"/>
        <v>0.22796687078133226</v>
      </c>
      <c r="AU57" s="288">
        <f ca="1">IF(down_payment&lt;=0,"N/A",MIRR(($AQ$4:AQ56,AR57),finance_rate,reinvestment_rate))</f>
        <v>1.6907338710356212E-2</v>
      </c>
      <c r="AV57" s="290">
        <f t="shared" ca="1" si="35"/>
        <v>0.22285954618534132</v>
      </c>
      <c r="AW57" s="103"/>
      <c r="AX57" s="152" t="str">
        <f t="shared" si="36"/>
        <v/>
      </c>
      <c r="AY57" s="296" t="str">
        <f>IF(AND(B57=$BA$4,OR(down_payment&lt;=0,purchase_date="")),"N/A",IF(B57=$BA$4,XIRR(AX$4:AX57,A$4:A57),""))</f>
        <v/>
      </c>
      <c r="BA57" s="178"/>
    </row>
    <row r="58" spans="1:53">
      <c r="A58" s="137">
        <f t="shared" si="21"/>
        <v>41805</v>
      </c>
      <c r="B58" s="138">
        <f t="shared" si="11"/>
        <v>54</v>
      </c>
      <c r="C58" s="139">
        <f>C57+(C57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58" s="139">
        <f t="shared" si="26"/>
        <v>10951.2</v>
      </c>
      <c r="E58" s="140">
        <f t="shared" si="12"/>
        <v>208072.8</v>
      </c>
      <c r="F58" s="141"/>
      <c r="G58" s="157">
        <f>IF(Input!$I$7="",0,IF(B58=Input!$I$7,Input!$I$6,IF(B58=Input!$I$7+12,Input!$I$6*(1+annual_incr_proptax),IF(B58=Input!$I$7+24,Input!$I$6*(1+annual_incr_proptax)^2,IF(B58=Input!$I$7+36,Input!$I$6*(1+annual_incr_proptax)^3,IF(B58=Input!$I$7+48,Input!$I$6*(1+annual_incr_proptax)^4,IF(B58=Input!$I$7+60,Input!$I$6*(1+annual_incr_proptax)^5,IF(B58=Input!$I$7+72,Input!$I$6*(1+annual_incr_proptax)^6,IF(B58=Input!$I$7+84,Input!$I$6*(1+annual_incr_proptax)^7,IF(B58=Input!$I$7+96,Input!$I$6*(1+annual_incr_proptax)^8,IF(B58=Input!$I$7+108,Input!$I$6*(1+annual_incr_proptax)^9,IF(B58=Input!$I$7+120,Input!$I$6*(1+annual_incr_proptax)^10,0))))))))))))</f>
        <v>0</v>
      </c>
      <c r="H58" s="139">
        <f>IF(Input!$I$10="",0,IF(B58=Input!$I$10,Input!$I$9,IF(B58=Input!$I$10+12,Input!$I$9*(1+annual_incr_ins),IF(B58=Input!$I$10+24,Input!$I$9*(1+annual_incr_ins)^2,IF(B58=Input!$I$10+36,Input!$I$9*(1+annual_incr_ins)^3,IF(B58=Input!$I$10+48,Input!$I$9*(1+annual_incr_ins)^4,IF(B58=Input!$I$10+60,Input!$I$9*(1+annual_incr_ins)^5,IF(B58=Input!$I$10+72,Input!$I$9*(1+annual_incr_ins)^6,IF(B58=Input!$I$10+84,Input!$I$9*(1+annual_incr_ins)^7,IF(B58=Input!$I$10+96,Input!$I$9*(1+annual_incr_ins)^8,IF(B58=Input!$I$10+108,Input!$I$9*(1+annual_incr_ins)^9,IF(B58=Input!$I$10+120,Input!$I$9*(1+annual_incr_ins)^10,0))))))))))))</f>
        <v>13375.455112968753</v>
      </c>
      <c r="I58" s="139">
        <f>IF(OR(Input!$I$13="",B58&lt;Input!$I$13),0,IF(AND(B58&gt;=Input!$I$13,B58&lt;Input!$I$13+12),Input!$I$12,IF(B58=Input!$I$13+12,Input!$I$12*(1+annual_incr_util),IF(B58=Input!$I$13+24,Input!$I$12*(1+annual_incr_util)^2,IF(B58=Input!$I$13+36,Input!$I$12*(1+annual_incr_util)^3,IF(B58=Input!$I$13+48,Input!$I$12*(1+annual_incr_util)^4,IF(B58=Input!$I$13+60,Input!$I$12*(1+annual_incr_util)^5,IF(B58=Input!$I$13+72,Input!$I$12*(1+annual_incr_util)^6,IF(B58=Input!$I$13+84,Input!$I$12*(1+annual_incr_util)^7,IF(B58=Input!$I$13+96,Input!$I$12*(1+annual_incr_util)^8,IF(B58=Input!$I$13+108,Input!$I$12*(1+annual_incr_util)^9,IF(B58=Input!$I$13+120,Input!$I$12*(1+annual_incr_util)^10,I57))))))))))))</f>
        <v>511.4141676738281</v>
      </c>
      <c r="J58" s="139">
        <f>IF(Input!$I$16="",0,IF(B58=Input!$I$16,Input!$I$15,IF(B58=Input!$I$16+12,Input!$I$15*(1+annual_incr_advtg),IF(B58=Input!$I$16+24,Input!$I$15*(1+annual_incr_advtg)^2,IF(B58=Input!$I$16+36,Input!$I$15*(1+annual_incr_advtg)^3,IF(B58=Input!$I$16+48,Input!$I$15*(1+annual_incr_advtg)^4,IF(B58=Input!$I$16+60,Input!$I$15*(1+annual_incr_advtg)^5,IF(B58=Input!$I$16+72,Input!$I$15*(1+annual_incr_advtg)^6,IF(B58=Input!$I$16+84,Input!$I$15*(1+annual_incr_advtg)^7,IF(B58=Input!$I$16+96,Input!$I$15*(1+annual_incr_advtg)^8,IF(B58=Input!$I$16+108,Input!$I$15*(1+annual_incr_advtg)^9,IF(B58=Input!$I$16+120,Input!$I$15*(1+annual_incr_advtg)^10,0))))))))))))</f>
        <v>0</v>
      </c>
      <c r="K58" s="139">
        <f>IF(Input!$I$19="",0,IF(B58=Input!$I$19,Input!$I$18,IF(B58=Input!$I$19+12,Input!$I$18*(1+annual_incr_other1),IF(B58=Input!$I$19+24,Input!$I$18*(1+annual_incr_other1)^2,IF(B58=Input!$I$19+36,Input!$I$18*(1+annual_incr_other1)^3,IF(B58=Input!$I$19+48,Input!$I$18*(1+annual_incr_other1)^4,IF(B58=Input!$I$19+60,Input!$I$18*(1+annual_incr_other1)^5,IF(B58=Input!$I$19+72,Input!$I$18*(1+annual_incr_other1)^6,IF(B58=Input!$I$19+84,Input!$I$18*(1+annual_incr_other1)^7,IF(B58=Input!$I$19+96,Input!$I$18*(1+annual_incr_other1)^8,IF(B58=Input!$I$19+108,Input!$I$18*(1+annual_incr_other1)^9,IF(B58=Input!$I$19+120,Input!$I$18*(1+annual_incr_other1)^10,0))))))))))))</f>
        <v>0</v>
      </c>
      <c r="L58" s="156">
        <f>IF(OR(Input!$I$22="",B58&lt;Input!$I$22),0,IF(AND(B58&gt;=Input!$I$22,B58&lt;Input!$I$22+12),Input!$I$21,IF(B58=Input!$I$22+12,Input!$I$21*(1+annual_incr_other2),IF(B58=Input!$I$22+24,Input!$I$21*(1+annual_incr_other2)^2,IF(B58=Input!$I$22+36,Input!$I$21*(1+annual_incr_other2)^3,IF(B58=Input!$I$22+48,Input!$I$21*(1+annual_incr_other2)^4,IF(B58=Input!$I$22+60,Input!$I$21*(1+annual_incr_other2)^5,IF(B58=Input!$I$22+72,Input!$I$21*(1+annual_incr_other2)^6,IF(B58=Input!$I$22+84,Input!$I$21*(1+annual_incr_other2)^7,IF(B58=Input!$I$22+96,Input!$I$21*(1+annual_incr_other2)^8,IF(B58=Input!$I$22+108,Input!$I$21*(1+annual_incr_other2)^9,IF(B58=Input!$I$22+120,Input!$I$21*(1+annual_incr_other2)^10,L57))))))))))))</f>
        <v>607.09708984374993</v>
      </c>
      <c r="M58" s="139">
        <f>IF(OR(Input!$I$27="",B58&lt;Input!$I$27),0,E58*mgmt_fee)</f>
        <v>1872.6551999999997</v>
      </c>
      <c r="N58" s="139">
        <f>IF(OR(Input!$I$29="",B58&lt;Input!$I$29),0,E58*repairs_maint)</f>
        <v>2288.8007999999995</v>
      </c>
      <c r="O58" s="149">
        <f>IF(Input!$I$31="",0,IF(OR(B58=Input!$I$31,B58=Input!$I$31+12,B58=Input!$I$31+24,B58=Input!$I$31+36,B58=Input!$I$31+48,B58=Input!$I$31+60,B58=Input!$I$31+72,B58=Input!$I$31+84,B58=Input!$I$31+96,B58=Input!$I$31+108,B58=Input!$I$31+120),E58*other_3,0))</f>
        <v>0</v>
      </c>
      <c r="P58" s="158">
        <f t="shared" si="13"/>
        <v>18655.422370486329</v>
      </c>
      <c r="Q58" s="159">
        <f t="shared" si="14"/>
        <v>189417.37762951365</v>
      </c>
      <c r="R58" s="160"/>
      <c r="S58" s="161">
        <f>IF(AND(leveraged_property,B58&lt;=amort_period),-IPMT(interest_rate/12,B58,amort_period,loan_amount),0)</f>
        <v>40689.884280888138</v>
      </c>
      <c r="T58" s="149">
        <f t="shared" si="15"/>
        <v>13250.070847077091</v>
      </c>
      <c r="U58" s="149">
        <f>IF(AND(leveraged_property,B58&lt;=amort_period),-PMT(interest_rate/12,amort_period,loan_amount),0)</f>
        <v>53939.95512796523</v>
      </c>
      <c r="V58" s="149">
        <f t="shared" si="37"/>
        <v>8864542.8631648794</v>
      </c>
      <c r="W58" s="160"/>
      <c r="X58" s="149">
        <f t="shared" si="38"/>
        <v>104837.4140625</v>
      </c>
      <c r="Y58" s="162">
        <f t="shared" si="39"/>
        <v>24758403.705000021</v>
      </c>
      <c r="Z58" s="156">
        <f t="shared" si="27"/>
        <v>28095980.732707608</v>
      </c>
      <c r="AA58" s="163">
        <f t="shared" ca="1" si="28"/>
        <v>28095980.732707608</v>
      </c>
      <c r="AB58" s="160"/>
      <c r="AC58" s="164">
        <f>Input!$C$25/12</f>
        <v>26538.461538461535</v>
      </c>
      <c r="AD58" s="139">
        <f t="shared" si="29"/>
        <v>122189.03181016399</v>
      </c>
      <c r="AE58" s="149">
        <f t="shared" si="30"/>
        <v>36656.709543049197</v>
      </c>
      <c r="AF58" s="139">
        <f ca="1">IF(AA58=0,0,AA58-(total_initial_cost-SUM($AC$5:AC58)))</f>
        <v>8829057.6557845287</v>
      </c>
      <c r="AG58" s="139">
        <f t="shared" ca="1" si="31"/>
        <v>1765811.5311569059</v>
      </c>
      <c r="AH58" s="149">
        <f t="shared" ca="1" si="19"/>
        <v>26330169.201550703</v>
      </c>
      <c r="AI58" s="103"/>
      <c r="AJ58" s="165">
        <f t="shared" ca="1" si="32"/>
        <v>5630169.2015507035</v>
      </c>
      <c r="AK58" s="165">
        <f t="shared" ca="1" si="40"/>
        <v>6898182.8478947803</v>
      </c>
      <c r="AL58" s="300">
        <f t="shared" ca="1" si="41"/>
        <v>0.6159091828477482</v>
      </c>
      <c r="AM58" s="300">
        <f t="shared" si="42"/>
        <v>0.13570477673366599</v>
      </c>
      <c r="AN58" s="300">
        <f t="shared" si="43"/>
        <v>0.10469434593974115</v>
      </c>
      <c r="AO58" s="301">
        <f>IF(leveraged_property,SUM(Q47:Q58)/SUM(U47:U58),"N/A")</f>
        <v>3.3481256392892766</v>
      </c>
      <c r="AP58" s="103"/>
      <c r="AQ58" s="149">
        <f t="shared" si="20"/>
        <v>135477.42250154843</v>
      </c>
      <c r="AR58" s="149">
        <f t="shared" ca="1" si="33"/>
        <v>19366915.292044278</v>
      </c>
      <c r="AS58" s="288">
        <f ca="1">IF(down_payment&lt;=0,"N/A",IRR(($AQ$4:AQ57,AR58),))</f>
        <v>1.7110008084933924E-2</v>
      </c>
      <c r="AT58" s="290">
        <f t="shared" ca="1" si="34"/>
        <v>0.22578734126538147</v>
      </c>
      <c r="AU58" s="288">
        <f ca="1">IF(down_payment&lt;=0,"N/A",MIRR(($AQ$4:AQ57,AR58),finance_rate,reinvestment_rate))</f>
        <v>1.6773357908619113E-2</v>
      </c>
      <c r="AV58" s="290">
        <f t="shared" ca="1" si="35"/>
        <v>0.22092755860216151</v>
      </c>
      <c r="AW58" s="103"/>
      <c r="AX58" s="152" t="str">
        <f t="shared" si="36"/>
        <v/>
      </c>
      <c r="AY58" s="296" t="str">
        <f>IF(AND(B58=$BA$4,OR(down_payment&lt;=0,purchase_date="")),"N/A",IF(B58=$BA$4,XIRR(AX$4:AX58,A$4:A58),""))</f>
        <v/>
      </c>
      <c r="BA58" s="178"/>
    </row>
    <row r="59" spans="1:53">
      <c r="A59" s="137">
        <f t="shared" si="21"/>
        <v>41835</v>
      </c>
      <c r="B59" s="138">
        <f t="shared" si="11"/>
        <v>55</v>
      </c>
      <c r="C59" s="139">
        <f>C58+(C58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59" s="139">
        <f t="shared" si="26"/>
        <v>10951.2</v>
      </c>
      <c r="E59" s="140">
        <f t="shared" si="12"/>
        <v>208072.8</v>
      </c>
      <c r="F59" s="141"/>
      <c r="G59" s="157">
        <f>IF(Input!$I$7="",0,IF(B59=Input!$I$7,Input!$I$6,IF(B59=Input!$I$7+12,Input!$I$6*(1+annual_incr_proptax),IF(B59=Input!$I$7+24,Input!$I$6*(1+annual_incr_proptax)^2,IF(B59=Input!$I$7+36,Input!$I$6*(1+annual_incr_proptax)^3,IF(B59=Input!$I$7+48,Input!$I$6*(1+annual_incr_proptax)^4,IF(B59=Input!$I$7+60,Input!$I$6*(1+annual_incr_proptax)^5,IF(B59=Input!$I$7+72,Input!$I$6*(1+annual_incr_proptax)^6,IF(B59=Input!$I$7+84,Input!$I$6*(1+annual_incr_proptax)^7,IF(B59=Input!$I$7+96,Input!$I$6*(1+annual_incr_proptax)^8,IF(B59=Input!$I$7+108,Input!$I$6*(1+annual_incr_proptax)^9,IF(B59=Input!$I$7+120,Input!$I$6*(1+annual_incr_proptax)^10,0))))))))))))</f>
        <v>0</v>
      </c>
      <c r="H59" s="139">
        <f>IF(Input!$I$10="",0,IF(B59=Input!$I$10,Input!$I$9,IF(B59=Input!$I$10+12,Input!$I$9*(1+annual_incr_ins),IF(B59=Input!$I$10+24,Input!$I$9*(1+annual_incr_ins)^2,IF(B59=Input!$I$10+36,Input!$I$9*(1+annual_incr_ins)^3,IF(B59=Input!$I$10+48,Input!$I$9*(1+annual_incr_ins)^4,IF(B59=Input!$I$10+60,Input!$I$9*(1+annual_incr_ins)^5,IF(B59=Input!$I$10+72,Input!$I$9*(1+annual_incr_ins)^6,IF(B59=Input!$I$10+84,Input!$I$9*(1+annual_incr_ins)^7,IF(B59=Input!$I$10+96,Input!$I$9*(1+annual_incr_ins)^8,IF(B59=Input!$I$10+108,Input!$I$9*(1+annual_incr_ins)^9,IF(B59=Input!$I$10+120,Input!$I$9*(1+annual_incr_ins)^10,0))))))))))))</f>
        <v>0</v>
      </c>
      <c r="I59" s="139">
        <f>IF(OR(Input!$I$13="",B59&lt;Input!$I$13),0,IF(AND(B59&gt;=Input!$I$13,B59&lt;Input!$I$13+12),Input!$I$12,IF(B59=Input!$I$13+12,Input!$I$12*(1+annual_incr_util),IF(B59=Input!$I$13+24,Input!$I$12*(1+annual_incr_util)^2,IF(B59=Input!$I$13+36,Input!$I$12*(1+annual_incr_util)^3,IF(B59=Input!$I$13+48,Input!$I$12*(1+annual_incr_util)^4,IF(B59=Input!$I$13+60,Input!$I$12*(1+annual_incr_util)^5,IF(B59=Input!$I$13+72,Input!$I$12*(1+annual_incr_util)^6,IF(B59=Input!$I$13+84,Input!$I$12*(1+annual_incr_util)^7,IF(B59=Input!$I$13+96,Input!$I$12*(1+annual_incr_util)^8,IF(B59=Input!$I$13+108,Input!$I$12*(1+annual_incr_util)^9,IF(B59=Input!$I$13+120,Input!$I$12*(1+annual_incr_util)^10,I58))))))))))))</f>
        <v>511.4141676738281</v>
      </c>
      <c r="J59" s="139">
        <f>IF(Input!$I$16="",0,IF(B59=Input!$I$16,Input!$I$15,IF(B59=Input!$I$16+12,Input!$I$15*(1+annual_incr_advtg),IF(B59=Input!$I$16+24,Input!$I$15*(1+annual_incr_advtg)^2,IF(B59=Input!$I$16+36,Input!$I$15*(1+annual_incr_advtg)^3,IF(B59=Input!$I$16+48,Input!$I$15*(1+annual_incr_advtg)^4,IF(B59=Input!$I$16+60,Input!$I$15*(1+annual_incr_advtg)^5,IF(B59=Input!$I$16+72,Input!$I$15*(1+annual_incr_advtg)^6,IF(B59=Input!$I$16+84,Input!$I$15*(1+annual_incr_advtg)^7,IF(B59=Input!$I$16+96,Input!$I$15*(1+annual_incr_advtg)^8,IF(B59=Input!$I$16+108,Input!$I$15*(1+annual_incr_advtg)^9,IF(B59=Input!$I$16+120,Input!$I$15*(1+annual_incr_advtg)^10,0))))))))))))</f>
        <v>14338.531344551688</v>
      </c>
      <c r="K59" s="139">
        <f>IF(Input!$I$19="",0,IF(B59=Input!$I$19,Input!$I$18,IF(B59=Input!$I$19+12,Input!$I$18*(1+annual_incr_other1),IF(B59=Input!$I$19+24,Input!$I$18*(1+annual_incr_other1)^2,IF(B59=Input!$I$19+36,Input!$I$18*(1+annual_incr_other1)^3,IF(B59=Input!$I$19+48,Input!$I$18*(1+annual_incr_other1)^4,IF(B59=Input!$I$19+60,Input!$I$18*(1+annual_incr_other1)^5,IF(B59=Input!$I$19+72,Input!$I$18*(1+annual_incr_other1)^6,IF(B59=Input!$I$19+84,Input!$I$18*(1+annual_incr_other1)^7,IF(B59=Input!$I$19+96,Input!$I$18*(1+annual_incr_other1)^8,IF(B59=Input!$I$19+108,Input!$I$18*(1+annual_incr_other1)^9,IF(B59=Input!$I$19+120,Input!$I$18*(1+annual_incr_other1)^10,0))))))))))))</f>
        <v>0</v>
      </c>
      <c r="L59" s="156">
        <f>IF(OR(Input!$I$22="",B59&lt;Input!$I$22),0,IF(AND(B59&gt;=Input!$I$22,B59&lt;Input!$I$22+12),Input!$I$21,IF(B59=Input!$I$22+12,Input!$I$21*(1+annual_incr_other2),IF(B59=Input!$I$22+24,Input!$I$21*(1+annual_incr_other2)^2,IF(B59=Input!$I$22+36,Input!$I$21*(1+annual_incr_other2)^3,IF(B59=Input!$I$22+48,Input!$I$21*(1+annual_incr_other2)^4,IF(B59=Input!$I$22+60,Input!$I$21*(1+annual_incr_other2)^5,IF(B59=Input!$I$22+72,Input!$I$21*(1+annual_incr_other2)^6,IF(B59=Input!$I$22+84,Input!$I$21*(1+annual_incr_other2)^7,IF(B59=Input!$I$22+96,Input!$I$21*(1+annual_incr_other2)^8,IF(B59=Input!$I$22+108,Input!$I$21*(1+annual_incr_other2)^9,IF(B59=Input!$I$22+120,Input!$I$21*(1+annual_incr_other2)^10,L58))))))))))))</f>
        <v>607.09708984374993</v>
      </c>
      <c r="M59" s="139">
        <f>IF(OR(Input!$I$27="",B59&lt;Input!$I$27),0,E59*mgmt_fee)</f>
        <v>1872.6551999999997</v>
      </c>
      <c r="N59" s="139">
        <f>IF(OR(Input!$I$29="",B59&lt;Input!$I$29),0,E59*repairs_maint)</f>
        <v>2288.8007999999995</v>
      </c>
      <c r="O59" s="149">
        <f>IF(Input!$I$31="",0,IF(OR(B59=Input!$I$31,B59=Input!$I$31+12,B59=Input!$I$31+24,B59=Input!$I$31+36,B59=Input!$I$31+48,B59=Input!$I$31+60,B59=Input!$I$31+72,B59=Input!$I$31+84,B59=Input!$I$31+96,B59=Input!$I$31+108,B59=Input!$I$31+120),E59*other_3,0))</f>
        <v>0</v>
      </c>
      <c r="P59" s="158">
        <f t="shared" si="13"/>
        <v>19618.498602069267</v>
      </c>
      <c r="Q59" s="159">
        <f t="shared" si="14"/>
        <v>188454.30139793071</v>
      </c>
      <c r="R59" s="160"/>
      <c r="S59" s="161">
        <f>IF(AND(leveraged_property,B59&lt;=amort_period),-IPMT(interest_rate/12,B59,amort_period,loan_amount),0)</f>
        <v>40629.154789505694</v>
      </c>
      <c r="T59" s="149">
        <f t="shared" si="15"/>
        <v>13310.800338459536</v>
      </c>
      <c r="U59" s="149">
        <f>IF(AND(leveraged_property,B59&lt;=amort_period),-PMT(interest_rate/12,amort_period,loan_amount),0)</f>
        <v>53939.95512796523</v>
      </c>
      <c r="V59" s="149">
        <f t="shared" si="37"/>
        <v>8851232.0628264192</v>
      </c>
      <c r="W59" s="160"/>
      <c r="X59" s="149">
        <f t="shared" si="38"/>
        <v>104837.4140625</v>
      </c>
      <c r="Y59" s="162">
        <f t="shared" si="39"/>
        <v>24859047.622500021</v>
      </c>
      <c r="Z59" s="156">
        <f t="shared" si="27"/>
        <v>28085843.215328429</v>
      </c>
      <c r="AA59" s="163">
        <f t="shared" ca="1" si="28"/>
        <v>28085843.215328429</v>
      </c>
      <c r="AB59" s="160"/>
      <c r="AC59" s="164">
        <f>Input!$C$25/12</f>
        <v>26538.461538461535</v>
      </c>
      <c r="AD59" s="139">
        <f t="shared" si="29"/>
        <v>121286.68506996348</v>
      </c>
      <c r="AE59" s="149">
        <f t="shared" si="30"/>
        <v>36386.005520989042</v>
      </c>
      <c r="AF59" s="139">
        <f ca="1">IF(AA59=0,0,AA59-(total_initial_cost-SUM($AC$5:AC59)))</f>
        <v>8845458.5999438129</v>
      </c>
      <c r="AG59" s="139">
        <f t="shared" ca="1" si="31"/>
        <v>1769091.7199887626</v>
      </c>
      <c r="AH59" s="149">
        <f t="shared" ca="1" si="19"/>
        <v>26316751.495339666</v>
      </c>
      <c r="AI59" s="103"/>
      <c r="AJ59" s="165">
        <f t="shared" ca="1" si="32"/>
        <v>5616751.4953396656</v>
      </c>
      <c r="AK59" s="165">
        <f t="shared" ca="1" si="40"/>
        <v>6905442.1686240742</v>
      </c>
      <c r="AL59" s="300">
        <f t="shared" ca="1" si="41"/>
        <v>0.61655733648429234</v>
      </c>
      <c r="AM59" s="300">
        <f t="shared" si="42"/>
        <v>0.13827869348374286</v>
      </c>
      <c r="AN59" s="300">
        <f t="shared" si="43"/>
        <v>0.1060869965484784</v>
      </c>
      <c r="AO59" s="301">
        <f>IF(leveraged_property,SUM(Q48:Q59)/SUM(U48:U59),"N/A")</f>
        <v>3.3926626118242478</v>
      </c>
      <c r="AP59" s="103"/>
      <c r="AQ59" s="149">
        <f t="shared" si="20"/>
        <v>134514.34626996549</v>
      </c>
      <c r="AR59" s="149">
        <f t="shared" ca="1" si="33"/>
        <v>19369125.498771973</v>
      </c>
      <c r="AS59" s="288">
        <f ca="1">IF(down_payment&lt;=0,"N/A",IRR(($AQ$4:AQ58,AR59),))</f>
        <v>1.6960209946198571E-2</v>
      </c>
      <c r="AT59" s="290">
        <f t="shared" ca="1" si="34"/>
        <v>0.2236227140906617</v>
      </c>
      <c r="AU59" s="288">
        <f ca="1">IF(down_payment&lt;=0,"N/A",MIRR(($AQ$4:AQ58,AR59),finance_rate,reinvestment_rate))</f>
        <v>1.6640956413399133E-2</v>
      </c>
      <c r="AV59" s="290">
        <f t="shared" ca="1" si="35"/>
        <v>0.21902109350705024</v>
      </c>
      <c r="AW59" s="103"/>
      <c r="AX59" s="152" t="str">
        <f t="shared" si="36"/>
        <v/>
      </c>
      <c r="AY59" s="296" t="str">
        <f>IF(AND(B59=$BA$4,OR(down_payment&lt;=0,purchase_date="")),"N/A",IF(B59=$BA$4,XIRR(AX$4:AX59,A$4:A59),""))</f>
        <v/>
      </c>
      <c r="BA59" s="178"/>
    </row>
    <row r="60" spans="1:53">
      <c r="A60" s="137">
        <f t="shared" si="21"/>
        <v>41866</v>
      </c>
      <c r="B60" s="138">
        <f t="shared" si="11"/>
        <v>56</v>
      </c>
      <c r="C60" s="139">
        <f>C59+(C59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0" s="139">
        <f t="shared" si="26"/>
        <v>10951.2</v>
      </c>
      <c r="E60" s="140">
        <f t="shared" si="12"/>
        <v>208072.8</v>
      </c>
      <c r="F60" s="141"/>
      <c r="G60" s="157">
        <f>IF(Input!$I$7="",0,IF(B60=Input!$I$7,Input!$I$6,IF(B60=Input!$I$7+12,Input!$I$6*(1+annual_incr_proptax),IF(B60=Input!$I$7+24,Input!$I$6*(1+annual_incr_proptax)^2,IF(B60=Input!$I$7+36,Input!$I$6*(1+annual_incr_proptax)^3,IF(B60=Input!$I$7+48,Input!$I$6*(1+annual_incr_proptax)^4,IF(B60=Input!$I$7+60,Input!$I$6*(1+annual_incr_proptax)^5,IF(B60=Input!$I$7+72,Input!$I$6*(1+annual_incr_proptax)^6,IF(B60=Input!$I$7+84,Input!$I$6*(1+annual_incr_proptax)^7,IF(B60=Input!$I$7+96,Input!$I$6*(1+annual_incr_proptax)^8,IF(B60=Input!$I$7+108,Input!$I$6*(1+annual_incr_proptax)^9,IF(B60=Input!$I$7+120,Input!$I$6*(1+annual_incr_proptax)^10,0))))))))))))</f>
        <v>0</v>
      </c>
      <c r="H60" s="139">
        <f>IF(Input!$I$10="",0,IF(B60=Input!$I$10,Input!$I$9,IF(B60=Input!$I$10+12,Input!$I$9*(1+annual_incr_ins),IF(B60=Input!$I$10+24,Input!$I$9*(1+annual_incr_ins)^2,IF(B60=Input!$I$10+36,Input!$I$9*(1+annual_incr_ins)^3,IF(B60=Input!$I$10+48,Input!$I$9*(1+annual_incr_ins)^4,IF(B60=Input!$I$10+60,Input!$I$9*(1+annual_incr_ins)^5,IF(B60=Input!$I$10+72,Input!$I$9*(1+annual_incr_ins)^6,IF(B60=Input!$I$10+84,Input!$I$9*(1+annual_incr_ins)^7,IF(B60=Input!$I$10+96,Input!$I$9*(1+annual_incr_ins)^8,IF(B60=Input!$I$10+108,Input!$I$9*(1+annual_incr_ins)^9,IF(B60=Input!$I$10+120,Input!$I$9*(1+annual_incr_ins)^10,0))))))))))))</f>
        <v>0</v>
      </c>
      <c r="I60" s="139">
        <f>IF(OR(Input!$I$13="",B60&lt;Input!$I$13),0,IF(AND(B60&gt;=Input!$I$13,B60&lt;Input!$I$13+12),Input!$I$12,IF(B60=Input!$I$13+12,Input!$I$12*(1+annual_incr_util),IF(B60=Input!$I$13+24,Input!$I$12*(1+annual_incr_util)^2,IF(B60=Input!$I$13+36,Input!$I$12*(1+annual_incr_util)^3,IF(B60=Input!$I$13+48,Input!$I$12*(1+annual_incr_util)^4,IF(B60=Input!$I$13+60,Input!$I$12*(1+annual_incr_util)^5,IF(B60=Input!$I$13+72,Input!$I$12*(1+annual_incr_util)^6,IF(B60=Input!$I$13+84,Input!$I$12*(1+annual_incr_util)^7,IF(B60=Input!$I$13+96,Input!$I$12*(1+annual_incr_util)^8,IF(B60=Input!$I$13+108,Input!$I$12*(1+annual_incr_util)^9,IF(B60=Input!$I$13+120,Input!$I$12*(1+annual_incr_util)^10,I59))))))))))))</f>
        <v>511.4141676738281</v>
      </c>
      <c r="J60" s="139">
        <f>IF(Input!$I$16="",0,IF(B60=Input!$I$16,Input!$I$15,IF(B60=Input!$I$16+12,Input!$I$15*(1+annual_incr_advtg),IF(B60=Input!$I$16+24,Input!$I$15*(1+annual_incr_advtg)^2,IF(B60=Input!$I$16+36,Input!$I$15*(1+annual_incr_advtg)^3,IF(B60=Input!$I$16+48,Input!$I$15*(1+annual_incr_advtg)^4,IF(B60=Input!$I$16+60,Input!$I$15*(1+annual_incr_advtg)^5,IF(B60=Input!$I$16+72,Input!$I$15*(1+annual_incr_advtg)^6,IF(B60=Input!$I$16+84,Input!$I$15*(1+annual_incr_advtg)^7,IF(B60=Input!$I$16+96,Input!$I$15*(1+annual_incr_advtg)^8,IF(B60=Input!$I$16+108,Input!$I$15*(1+annual_incr_advtg)^9,IF(B60=Input!$I$16+120,Input!$I$15*(1+annual_incr_advtg)^10,0))))))))))))</f>
        <v>0</v>
      </c>
      <c r="K60" s="139">
        <f>IF(Input!$I$19="",0,IF(B60=Input!$I$19,Input!$I$18,IF(B60=Input!$I$19+12,Input!$I$18*(1+annual_incr_other1),IF(B60=Input!$I$19+24,Input!$I$18*(1+annual_incr_other1)^2,IF(B60=Input!$I$19+36,Input!$I$18*(1+annual_incr_other1)^3,IF(B60=Input!$I$19+48,Input!$I$18*(1+annual_incr_other1)^4,IF(B60=Input!$I$19+60,Input!$I$18*(1+annual_incr_other1)^5,IF(B60=Input!$I$19+72,Input!$I$18*(1+annual_incr_other1)^6,IF(B60=Input!$I$19+84,Input!$I$18*(1+annual_incr_other1)^7,IF(B60=Input!$I$19+96,Input!$I$18*(1+annual_incr_other1)^8,IF(B60=Input!$I$19+108,Input!$I$18*(1+annual_incr_other1)^9,IF(B60=Input!$I$19+120,Input!$I$18*(1+annual_incr_other1)^10,0))))))))))))</f>
        <v>0</v>
      </c>
      <c r="L60" s="156">
        <f>IF(OR(Input!$I$22="",B60&lt;Input!$I$22),0,IF(AND(B60&gt;=Input!$I$22,B60&lt;Input!$I$22+12),Input!$I$21,IF(B60=Input!$I$22+12,Input!$I$21*(1+annual_incr_other2),IF(B60=Input!$I$22+24,Input!$I$21*(1+annual_incr_other2)^2,IF(B60=Input!$I$22+36,Input!$I$21*(1+annual_incr_other2)^3,IF(B60=Input!$I$22+48,Input!$I$21*(1+annual_incr_other2)^4,IF(B60=Input!$I$22+60,Input!$I$21*(1+annual_incr_other2)^5,IF(B60=Input!$I$22+72,Input!$I$21*(1+annual_incr_other2)^6,IF(B60=Input!$I$22+84,Input!$I$21*(1+annual_incr_other2)^7,IF(B60=Input!$I$22+96,Input!$I$21*(1+annual_incr_other2)^8,IF(B60=Input!$I$22+108,Input!$I$21*(1+annual_incr_other2)^9,IF(B60=Input!$I$22+120,Input!$I$21*(1+annual_incr_other2)^10,L59))))))))))))</f>
        <v>607.09708984374993</v>
      </c>
      <c r="M60" s="139">
        <f>IF(OR(Input!$I$27="",B60&lt;Input!$I$27),0,E60*mgmt_fee)</f>
        <v>1872.6551999999997</v>
      </c>
      <c r="N60" s="139">
        <f>IF(OR(Input!$I$29="",B60&lt;Input!$I$29),0,E60*repairs_maint)</f>
        <v>2288.8007999999995</v>
      </c>
      <c r="O60" s="149">
        <f>IF(Input!$I$31="",0,IF(OR(B60=Input!$I$31,B60=Input!$I$31+12,B60=Input!$I$31+24,B60=Input!$I$31+36,B60=Input!$I$31+48,B60=Input!$I$31+60,B60=Input!$I$31+72,B60=Input!$I$31+84,B60=Input!$I$31+96,B60=Input!$I$31+108,B60=Input!$I$31+120),E60*other_3,0))</f>
        <v>0</v>
      </c>
      <c r="P60" s="158">
        <f t="shared" si="13"/>
        <v>5279.9672575175773</v>
      </c>
      <c r="Q60" s="159">
        <f t="shared" si="14"/>
        <v>202792.83274248242</v>
      </c>
      <c r="R60" s="160"/>
      <c r="S60" s="161">
        <f>IF(AND(leveraged_property,B60&lt;=amort_period),-IPMT(interest_rate/12,B60,amort_period,loan_amount),0)</f>
        <v>40568.146954621094</v>
      </c>
      <c r="T60" s="149">
        <f t="shared" si="15"/>
        <v>13371.808173344136</v>
      </c>
      <c r="U60" s="149">
        <f>IF(AND(leveraged_property,B60&lt;=amort_period),-PMT(interest_rate/12,amort_period,loan_amount),0)</f>
        <v>53939.95512796523</v>
      </c>
      <c r="V60" s="149">
        <f t="shared" si="37"/>
        <v>8837860.2546530757</v>
      </c>
      <c r="W60" s="160"/>
      <c r="X60" s="149">
        <f t="shared" si="38"/>
        <v>104837.4140625</v>
      </c>
      <c r="Y60" s="162">
        <f t="shared" si="39"/>
        <v>24959691.540000021</v>
      </c>
      <c r="Z60" s="156">
        <f t="shared" si="27"/>
        <v>28085461.63467608</v>
      </c>
      <c r="AA60" s="163">
        <f t="shared" ca="1" si="28"/>
        <v>28085461.63467608</v>
      </c>
      <c r="AB60" s="160"/>
      <c r="AC60" s="164">
        <f>Input!$C$25/12</f>
        <v>26538.461538461535</v>
      </c>
      <c r="AD60" s="139">
        <f t="shared" si="29"/>
        <v>135686.22424939979</v>
      </c>
      <c r="AE60" s="149">
        <f t="shared" si="30"/>
        <v>40705.867274819939</v>
      </c>
      <c r="AF60" s="139">
        <f ca="1">IF(AA60=0,0,AA60-(total_initial_cost-SUM($AC$5:AC60)))</f>
        <v>8871615.4808299243</v>
      </c>
      <c r="AG60" s="139">
        <f t="shared" ca="1" si="31"/>
        <v>1774323.0961659849</v>
      </c>
      <c r="AH60" s="149">
        <f t="shared" ca="1" si="19"/>
        <v>26311138.538510095</v>
      </c>
      <c r="AI60" s="103"/>
      <c r="AJ60" s="165">
        <f t="shared" ca="1" si="32"/>
        <v>5611138.5385100953</v>
      </c>
      <c r="AK60" s="165">
        <f t="shared" ca="1" si="40"/>
        <v>6921047.0789924618</v>
      </c>
      <c r="AL60" s="300">
        <f t="shared" ca="1" si="41"/>
        <v>0.61795063205289835</v>
      </c>
      <c r="AM60" s="300">
        <f t="shared" si="42"/>
        <v>0.14092130410618828</v>
      </c>
      <c r="AN60" s="300">
        <f t="shared" si="43"/>
        <v>0.10751681485627494</v>
      </c>
      <c r="AO60" s="301">
        <f>IF(leveraged_property,SUM(Q49:Q60)/SUM(U49:U60),"N/A")</f>
        <v>3.4383882075370686</v>
      </c>
      <c r="AP60" s="103"/>
      <c r="AQ60" s="149">
        <f t="shared" si="20"/>
        <v>148852.8776145172</v>
      </c>
      <c r="AR60" s="149">
        <f t="shared" ca="1" si="33"/>
        <v>19396454.257637523</v>
      </c>
      <c r="AS60" s="288">
        <f ca="1">IF(down_payment&lt;=0,"N/A",IRR(($AQ$4:AQ59,AR60),))</f>
        <v>1.6834550009714414E-2</v>
      </c>
      <c r="AT60" s="290">
        <f t="shared" ca="1" si="34"/>
        <v>0.22180959419085089</v>
      </c>
      <c r="AU60" s="288">
        <f ca="1">IF(down_payment&lt;=0,"N/A",MIRR(($AQ$4:AQ59,AR60),finance_rate,reinvestment_rate))</f>
        <v>1.652983663747376E-2</v>
      </c>
      <c r="AV60" s="290">
        <f t="shared" ca="1" si="35"/>
        <v>0.21742317303722603</v>
      </c>
      <c r="AW60" s="103"/>
      <c r="AX60" s="152" t="str">
        <f t="shared" si="36"/>
        <v/>
      </c>
      <c r="AY60" s="296" t="str">
        <f>IF(AND(B60=$BA$4,OR(down_payment&lt;=0,purchase_date="")),"N/A",IF(B60=$BA$4,XIRR(AX$4:AX60,A$4:A60),""))</f>
        <v/>
      </c>
      <c r="BA60" s="178"/>
    </row>
    <row r="61" spans="1:53">
      <c r="A61" s="137">
        <f t="shared" si="21"/>
        <v>41897</v>
      </c>
      <c r="B61" s="138">
        <f t="shared" si="11"/>
        <v>57</v>
      </c>
      <c r="C61" s="139">
        <f>C60+(C60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1" s="139">
        <f t="shared" si="26"/>
        <v>10951.2</v>
      </c>
      <c r="E61" s="140">
        <f t="shared" si="12"/>
        <v>208072.8</v>
      </c>
      <c r="F61" s="141"/>
      <c r="G61" s="157">
        <f>IF(Input!$I$7="",0,IF(B61=Input!$I$7,Input!$I$6,IF(B61=Input!$I$7+12,Input!$I$6*(1+annual_incr_proptax),IF(B61=Input!$I$7+24,Input!$I$6*(1+annual_incr_proptax)^2,IF(B61=Input!$I$7+36,Input!$I$6*(1+annual_incr_proptax)^3,IF(B61=Input!$I$7+48,Input!$I$6*(1+annual_incr_proptax)^4,IF(B61=Input!$I$7+60,Input!$I$6*(1+annual_incr_proptax)^5,IF(B61=Input!$I$7+72,Input!$I$6*(1+annual_incr_proptax)^6,IF(B61=Input!$I$7+84,Input!$I$6*(1+annual_incr_proptax)^7,IF(B61=Input!$I$7+96,Input!$I$6*(1+annual_incr_proptax)^8,IF(B61=Input!$I$7+108,Input!$I$6*(1+annual_incr_proptax)^9,IF(B61=Input!$I$7+120,Input!$I$6*(1+annual_incr_proptax)^10,0))))))))))))</f>
        <v>0</v>
      </c>
      <c r="H61" s="139">
        <f>IF(Input!$I$10="",0,IF(B61=Input!$I$10,Input!$I$9,IF(B61=Input!$I$10+12,Input!$I$9*(1+annual_incr_ins),IF(B61=Input!$I$10+24,Input!$I$9*(1+annual_incr_ins)^2,IF(B61=Input!$I$10+36,Input!$I$9*(1+annual_incr_ins)^3,IF(B61=Input!$I$10+48,Input!$I$9*(1+annual_incr_ins)^4,IF(B61=Input!$I$10+60,Input!$I$9*(1+annual_incr_ins)^5,IF(B61=Input!$I$10+72,Input!$I$9*(1+annual_incr_ins)^6,IF(B61=Input!$I$10+84,Input!$I$9*(1+annual_incr_ins)^7,IF(B61=Input!$I$10+96,Input!$I$9*(1+annual_incr_ins)^8,IF(B61=Input!$I$10+108,Input!$I$9*(1+annual_incr_ins)^9,IF(B61=Input!$I$10+120,Input!$I$9*(1+annual_incr_ins)^10,0))))))))))))</f>
        <v>0</v>
      </c>
      <c r="I61" s="139">
        <f>IF(OR(Input!$I$13="",B61&lt;Input!$I$13),0,IF(AND(B61&gt;=Input!$I$13,B61&lt;Input!$I$13+12),Input!$I$12,IF(B61=Input!$I$13+12,Input!$I$12*(1+annual_incr_util),IF(B61=Input!$I$13+24,Input!$I$12*(1+annual_incr_util)^2,IF(B61=Input!$I$13+36,Input!$I$12*(1+annual_incr_util)^3,IF(B61=Input!$I$13+48,Input!$I$12*(1+annual_incr_util)^4,IF(B61=Input!$I$13+60,Input!$I$12*(1+annual_incr_util)^5,IF(B61=Input!$I$13+72,Input!$I$12*(1+annual_incr_util)^6,IF(B61=Input!$I$13+84,Input!$I$12*(1+annual_incr_util)^7,IF(B61=Input!$I$13+96,Input!$I$12*(1+annual_incr_util)^8,IF(B61=Input!$I$13+108,Input!$I$12*(1+annual_incr_util)^9,IF(B61=Input!$I$13+120,Input!$I$12*(1+annual_incr_util)^10,I60))))))))))))</f>
        <v>511.4141676738281</v>
      </c>
      <c r="J61" s="139">
        <f>IF(Input!$I$16="",0,IF(B61=Input!$I$16,Input!$I$15,IF(B61=Input!$I$16+12,Input!$I$15*(1+annual_incr_advtg),IF(B61=Input!$I$16+24,Input!$I$15*(1+annual_incr_advtg)^2,IF(B61=Input!$I$16+36,Input!$I$15*(1+annual_incr_advtg)^3,IF(B61=Input!$I$16+48,Input!$I$15*(1+annual_incr_advtg)^4,IF(B61=Input!$I$16+60,Input!$I$15*(1+annual_incr_advtg)^5,IF(B61=Input!$I$16+72,Input!$I$15*(1+annual_incr_advtg)^6,IF(B61=Input!$I$16+84,Input!$I$15*(1+annual_incr_advtg)^7,IF(B61=Input!$I$16+96,Input!$I$15*(1+annual_incr_advtg)^8,IF(B61=Input!$I$16+108,Input!$I$15*(1+annual_incr_advtg)^9,IF(B61=Input!$I$16+120,Input!$I$15*(1+annual_incr_advtg)^10,0))))))))))))</f>
        <v>0</v>
      </c>
      <c r="K61" s="139">
        <f>IF(Input!$I$19="",0,IF(B61=Input!$I$19,Input!$I$18,IF(B61=Input!$I$19+12,Input!$I$18*(1+annual_incr_other1),IF(B61=Input!$I$19+24,Input!$I$18*(1+annual_incr_other1)^2,IF(B61=Input!$I$19+36,Input!$I$18*(1+annual_incr_other1)^3,IF(B61=Input!$I$19+48,Input!$I$18*(1+annual_incr_other1)^4,IF(B61=Input!$I$19+60,Input!$I$18*(1+annual_incr_other1)^5,IF(B61=Input!$I$19+72,Input!$I$18*(1+annual_incr_other1)^6,IF(B61=Input!$I$19+84,Input!$I$18*(1+annual_incr_other1)^7,IF(B61=Input!$I$19+96,Input!$I$18*(1+annual_incr_other1)^8,IF(B61=Input!$I$19+108,Input!$I$18*(1+annual_incr_other1)^9,IF(B61=Input!$I$19+120,Input!$I$18*(1+annual_incr_other1)^10,0))))))))))))</f>
        <v>0</v>
      </c>
      <c r="L61" s="156">
        <f>IF(OR(Input!$I$22="",B61&lt;Input!$I$22),0,IF(AND(B61&gt;=Input!$I$22,B61&lt;Input!$I$22+12),Input!$I$21,IF(B61=Input!$I$22+12,Input!$I$21*(1+annual_incr_other2),IF(B61=Input!$I$22+24,Input!$I$21*(1+annual_incr_other2)^2,IF(B61=Input!$I$22+36,Input!$I$21*(1+annual_incr_other2)^3,IF(B61=Input!$I$22+48,Input!$I$21*(1+annual_incr_other2)^4,IF(B61=Input!$I$22+60,Input!$I$21*(1+annual_incr_other2)^5,IF(B61=Input!$I$22+72,Input!$I$21*(1+annual_incr_other2)^6,IF(B61=Input!$I$22+84,Input!$I$21*(1+annual_incr_other2)^7,IF(B61=Input!$I$22+96,Input!$I$21*(1+annual_incr_other2)^8,IF(B61=Input!$I$22+108,Input!$I$21*(1+annual_incr_other2)^9,IF(B61=Input!$I$22+120,Input!$I$21*(1+annual_incr_other2)^10,L60))))))))))))</f>
        <v>607.09708984374993</v>
      </c>
      <c r="M61" s="139">
        <f>IF(OR(Input!$I$27="",B61&lt;Input!$I$27),0,E61*mgmt_fee)</f>
        <v>1872.6551999999997</v>
      </c>
      <c r="N61" s="139">
        <f>IF(OR(Input!$I$29="",B61&lt;Input!$I$29),0,E61*repairs_maint)</f>
        <v>2288.8007999999995</v>
      </c>
      <c r="O61" s="149">
        <f>IF(Input!$I$31="",0,IF(OR(B61=Input!$I$31,B61=Input!$I$31+12,B61=Input!$I$31+24,B61=Input!$I$31+36,B61=Input!$I$31+48,B61=Input!$I$31+60,B61=Input!$I$31+72,B61=Input!$I$31+84,B61=Input!$I$31+96,B61=Input!$I$31+108,B61=Input!$I$31+120),E61*other_3,0))</f>
        <v>0</v>
      </c>
      <c r="P61" s="158">
        <f t="shared" si="13"/>
        <v>5279.9672575175773</v>
      </c>
      <c r="Q61" s="159">
        <f t="shared" si="14"/>
        <v>202792.83274248242</v>
      </c>
      <c r="R61" s="160"/>
      <c r="S61" s="161">
        <f>IF(AND(leveraged_property,B61&lt;=amort_period),-IPMT(interest_rate/12,B61,amort_period,loan_amount),0)</f>
        <v>40506.859500493265</v>
      </c>
      <c r="T61" s="149">
        <f t="shared" si="15"/>
        <v>13433.095627471965</v>
      </c>
      <c r="U61" s="149">
        <f>IF(AND(leveraged_property,B61&lt;=amort_period),-PMT(interest_rate/12,amort_period,loan_amount),0)</f>
        <v>53939.95512796523</v>
      </c>
      <c r="V61" s="149">
        <f t="shared" si="37"/>
        <v>8824427.1590256039</v>
      </c>
      <c r="W61" s="160"/>
      <c r="X61" s="149">
        <f t="shared" si="38"/>
        <v>104837.4140625</v>
      </c>
      <c r="Y61" s="162">
        <f t="shared" si="39"/>
        <v>25060335.457500022</v>
      </c>
      <c r="Z61" s="156">
        <f t="shared" si="27"/>
        <v>28085080.054023735</v>
      </c>
      <c r="AA61" s="163">
        <f t="shared" ca="1" si="28"/>
        <v>28085080.054023735</v>
      </c>
      <c r="AB61" s="160"/>
      <c r="AC61" s="164">
        <f>Input!$C$25/12</f>
        <v>26538.461538461535</v>
      </c>
      <c r="AD61" s="139">
        <f t="shared" si="29"/>
        <v>135747.51170352762</v>
      </c>
      <c r="AE61" s="149">
        <f t="shared" si="30"/>
        <v>40724.253511058283</v>
      </c>
      <c r="AF61" s="139">
        <f ca="1">IF(AA61=0,0,AA61-(total_initial_cost-SUM($AC$5:AC61)))</f>
        <v>8897772.3617160432</v>
      </c>
      <c r="AG61" s="139">
        <f t="shared" ca="1" si="31"/>
        <v>1779554.4723432087</v>
      </c>
      <c r="AH61" s="149">
        <f t="shared" ca="1" si="19"/>
        <v>26305525.581680525</v>
      </c>
      <c r="AI61" s="103"/>
      <c r="AJ61" s="165">
        <f t="shared" ca="1" si="32"/>
        <v>5605525.5816805251</v>
      </c>
      <c r="AK61" s="165">
        <f t="shared" ca="1" si="40"/>
        <v>6936654.2801104747</v>
      </c>
      <c r="AL61" s="300">
        <f t="shared" ca="1" si="41"/>
        <v>0.61934413215272099</v>
      </c>
      <c r="AM61" s="300">
        <f t="shared" si="42"/>
        <v>0.1435639147286337</v>
      </c>
      <c r="AN61" s="300">
        <f t="shared" si="43"/>
        <v>0.10894663316407151</v>
      </c>
      <c r="AO61" s="301">
        <f>IF(leveraged_property,SUM(Q50:Q61)/SUM(U50:U61),"N/A")</f>
        <v>3.48411380324989</v>
      </c>
      <c r="AP61" s="103"/>
      <c r="AQ61" s="149">
        <f t="shared" si="20"/>
        <v>148852.8776145172</v>
      </c>
      <c r="AR61" s="149">
        <f t="shared" ca="1" si="33"/>
        <v>19409505.772612646</v>
      </c>
      <c r="AS61" s="288">
        <f ca="1">IF(down_payment&lt;=0,"N/A",IRR(($AQ$4:AQ60,AR61),))</f>
        <v>1.671354839115826E-2</v>
      </c>
      <c r="AT61" s="290">
        <f t="shared" ca="1" si="34"/>
        <v>0.22006601595039421</v>
      </c>
      <c r="AU61" s="288">
        <f ca="1">IF(down_payment&lt;=0,"N/A",MIRR(($AQ$4:AQ60,AR61),finance_rate,reinvestment_rate))</f>
        <v>1.6423375054339884E-2</v>
      </c>
      <c r="AV61" s="290">
        <f t="shared" ca="1" si="35"/>
        <v>0.21589403935715135</v>
      </c>
      <c r="AW61" s="103"/>
      <c r="AX61" s="152" t="str">
        <f t="shared" si="36"/>
        <v/>
      </c>
      <c r="AY61" s="296" t="str">
        <f>IF(AND(B61=$BA$4,OR(down_payment&lt;=0,purchase_date="")),"N/A",IF(B61=$BA$4,XIRR(AX$4:AX61,A$4:A61),""))</f>
        <v/>
      </c>
      <c r="BA61" s="178"/>
    </row>
    <row r="62" spans="1:53">
      <c r="A62" s="137">
        <f t="shared" si="21"/>
        <v>41927</v>
      </c>
      <c r="B62" s="138">
        <f t="shared" si="11"/>
        <v>58</v>
      </c>
      <c r="C62" s="139">
        <f>C61+(C61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2" s="139">
        <f t="shared" si="26"/>
        <v>10951.2</v>
      </c>
      <c r="E62" s="140">
        <f t="shared" si="12"/>
        <v>208072.8</v>
      </c>
      <c r="F62" s="141"/>
      <c r="G62" s="157">
        <f>IF(Input!$I$7="",0,IF(B62=Input!$I$7,Input!$I$6,IF(B62=Input!$I$7+12,Input!$I$6*(1+annual_incr_proptax),IF(B62=Input!$I$7+24,Input!$I$6*(1+annual_incr_proptax)^2,IF(B62=Input!$I$7+36,Input!$I$6*(1+annual_incr_proptax)^3,IF(B62=Input!$I$7+48,Input!$I$6*(1+annual_incr_proptax)^4,IF(B62=Input!$I$7+60,Input!$I$6*(1+annual_incr_proptax)^5,IF(B62=Input!$I$7+72,Input!$I$6*(1+annual_incr_proptax)^6,IF(B62=Input!$I$7+84,Input!$I$6*(1+annual_incr_proptax)^7,IF(B62=Input!$I$7+96,Input!$I$6*(1+annual_incr_proptax)^8,IF(B62=Input!$I$7+108,Input!$I$6*(1+annual_incr_proptax)^9,IF(B62=Input!$I$7+120,Input!$I$6*(1+annual_incr_proptax)^10,0))))))))))))</f>
        <v>0</v>
      </c>
      <c r="H62" s="139">
        <f>IF(Input!$I$10="",0,IF(B62=Input!$I$10,Input!$I$9,IF(B62=Input!$I$10+12,Input!$I$9*(1+annual_incr_ins),IF(B62=Input!$I$10+24,Input!$I$9*(1+annual_incr_ins)^2,IF(B62=Input!$I$10+36,Input!$I$9*(1+annual_incr_ins)^3,IF(B62=Input!$I$10+48,Input!$I$9*(1+annual_incr_ins)^4,IF(B62=Input!$I$10+60,Input!$I$9*(1+annual_incr_ins)^5,IF(B62=Input!$I$10+72,Input!$I$9*(1+annual_incr_ins)^6,IF(B62=Input!$I$10+84,Input!$I$9*(1+annual_incr_ins)^7,IF(B62=Input!$I$10+96,Input!$I$9*(1+annual_incr_ins)^8,IF(B62=Input!$I$10+108,Input!$I$9*(1+annual_incr_ins)^9,IF(B62=Input!$I$10+120,Input!$I$9*(1+annual_incr_ins)^10,0))))))))))))</f>
        <v>0</v>
      </c>
      <c r="I62" s="139">
        <f>IF(OR(Input!$I$13="",B62&lt;Input!$I$13),0,IF(AND(B62&gt;=Input!$I$13,B62&lt;Input!$I$13+12),Input!$I$12,IF(B62=Input!$I$13+12,Input!$I$12*(1+annual_incr_util),IF(B62=Input!$I$13+24,Input!$I$12*(1+annual_incr_util)^2,IF(B62=Input!$I$13+36,Input!$I$12*(1+annual_incr_util)^3,IF(B62=Input!$I$13+48,Input!$I$12*(1+annual_incr_util)^4,IF(B62=Input!$I$13+60,Input!$I$12*(1+annual_incr_util)^5,IF(B62=Input!$I$13+72,Input!$I$12*(1+annual_incr_util)^6,IF(B62=Input!$I$13+84,Input!$I$12*(1+annual_incr_util)^7,IF(B62=Input!$I$13+96,Input!$I$12*(1+annual_incr_util)^8,IF(B62=Input!$I$13+108,Input!$I$12*(1+annual_incr_util)^9,IF(B62=Input!$I$13+120,Input!$I$12*(1+annual_incr_util)^10,I61))))))))))))</f>
        <v>511.4141676738281</v>
      </c>
      <c r="J62" s="139">
        <f>IF(Input!$I$16="",0,IF(B62=Input!$I$16,Input!$I$15,IF(B62=Input!$I$16+12,Input!$I$15*(1+annual_incr_advtg),IF(B62=Input!$I$16+24,Input!$I$15*(1+annual_incr_advtg)^2,IF(B62=Input!$I$16+36,Input!$I$15*(1+annual_incr_advtg)^3,IF(B62=Input!$I$16+48,Input!$I$15*(1+annual_incr_advtg)^4,IF(B62=Input!$I$16+60,Input!$I$15*(1+annual_incr_advtg)^5,IF(B62=Input!$I$16+72,Input!$I$15*(1+annual_incr_advtg)^6,IF(B62=Input!$I$16+84,Input!$I$15*(1+annual_incr_advtg)^7,IF(B62=Input!$I$16+96,Input!$I$15*(1+annual_incr_advtg)^8,IF(B62=Input!$I$16+108,Input!$I$15*(1+annual_incr_advtg)^9,IF(B62=Input!$I$16+120,Input!$I$15*(1+annual_incr_advtg)^10,0))))))))))))</f>
        <v>0</v>
      </c>
      <c r="K62" s="139">
        <f>IF(Input!$I$19="",0,IF(B62=Input!$I$19,Input!$I$18,IF(B62=Input!$I$19+12,Input!$I$18*(1+annual_incr_other1),IF(B62=Input!$I$19+24,Input!$I$18*(1+annual_incr_other1)^2,IF(B62=Input!$I$19+36,Input!$I$18*(1+annual_incr_other1)^3,IF(B62=Input!$I$19+48,Input!$I$18*(1+annual_incr_other1)^4,IF(B62=Input!$I$19+60,Input!$I$18*(1+annual_incr_other1)^5,IF(B62=Input!$I$19+72,Input!$I$18*(1+annual_incr_other1)^6,IF(B62=Input!$I$19+84,Input!$I$18*(1+annual_incr_other1)^7,IF(B62=Input!$I$19+96,Input!$I$18*(1+annual_incr_other1)^8,IF(B62=Input!$I$19+108,Input!$I$18*(1+annual_incr_other1)^9,IF(B62=Input!$I$19+120,Input!$I$18*(1+annual_incr_other1)^10,0))))))))))))</f>
        <v>0</v>
      </c>
      <c r="L62" s="156">
        <f>IF(OR(Input!$I$22="",B62&lt;Input!$I$22),0,IF(AND(B62&gt;=Input!$I$22,B62&lt;Input!$I$22+12),Input!$I$21,IF(B62=Input!$I$22+12,Input!$I$21*(1+annual_incr_other2),IF(B62=Input!$I$22+24,Input!$I$21*(1+annual_incr_other2)^2,IF(B62=Input!$I$22+36,Input!$I$21*(1+annual_incr_other2)^3,IF(B62=Input!$I$22+48,Input!$I$21*(1+annual_incr_other2)^4,IF(B62=Input!$I$22+60,Input!$I$21*(1+annual_incr_other2)^5,IF(B62=Input!$I$22+72,Input!$I$21*(1+annual_incr_other2)^6,IF(B62=Input!$I$22+84,Input!$I$21*(1+annual_incr_other2)^7,IF(B62=Input!$I$22+96,Input!$I$21*(1+annual_incr_other2)^8,IF(B62=Input!$I$22+108,Input!$I$21*(1+annual_incr_other2)^9,IF(B62=Input!$I$22+120,Input!$I$21*(1+annual_incr_other2)^10,L61))))))))))))</f>
        <v>607.09708984374993</v>
      </c>
      <c r="M62" s="139">
        <f>IF(OR(Input!$I$27="",B62&lt;Input!$I$27),0,E62*mgmt_fee)</f>
        <v>1872.6551999999997</v>
      </c>
      <c r="N62" s="139">
        <f>IF(OR(Input!$I$29="",B62&lt;Input!$I$29),0,E62*repairs_maint)</f>
        <v>2288.8007999999995</v>
      </c>
      <c r="O62" s="149">
        <f>IF(Input!$I$31="",0,IF(OR(B62=Input!$I$31,B62=Input!$I$31+12,B62=Input!$I$31+24,B62=Input!$I$31+36,B62=Input!$I$31+48,B62=Input!$I$31+60,B62=Input!$I$31+72,B62=Input!$I$31+84,B62=Input!$I$31+96,B62=Input!$I$31+108,B62=Input!$I$31+120),E62*other_3,0))</f>
        <v>0</v>
      </c>
      <c r="P62" s="158">
        <f t="shared" si="13"/>
        <v>5279.9672575175773</v>
      </c>
      <c r="Q62" s="159">
        <f t="shared" si="14"/>
        <v>202792.83274248242</v>
      </c>
      <c r="R62" s="160"/>
      <c r="S62" s="161">
        <f>IF(AND(leveraged_property,B62&lt;=amort_period),-IPMT(interest_rate/12,B62,amort_period,loan_amount),0)</f>
        <v>40445.291145534029</v>
      </c>
      <c r="T62" s="149">
        <f t="shared" si="15"/>
        <v>13494.663982431201</v>
      </c>
      <c r="U62" s="149">
        <f>IF(AND(leveraged_property,B62&lt;=amort_period),-PMT(interest_rate/12,amort_period,loan_amount),0)</f>
        <v>53939.95512796523</v>
      </c>
      <c r="V62" s="149">
        <f t="shared" si="37"/>
        <v>8810932.4950431734</v>
      </c>
      <c r="W62" s="160"/>
      <c r="X62" s="149">
        <f t="shared" si="38"/>
        <v>104837.4140625</v>
      </c>
      <c r="Y62" s="162">
        <f t="shared" si="39"/>
        <v>25160979.375000022</v>
      </c>
      <c r="Z62" s="156">
        <f t="shared" si="27"/>
        <v>28084698.473371387</v>
      </c>
      <c r="AA62" s="163">
        <f t="shared" ca="1" si="28"/>
        <v>28084698.473371387</v>
      </c>
      <c r="AB62" s="160"/>
      <c r="AC62" s="164">
        <f>Input!$C$25/12</f>
        <v>26538.461538461535</v>
      </c>
      <c r="AD62" s="139">
        <f t="shared" si="29"/>
        <v>135809.08005848687</v>
      </c>
      <c r="AE62" s="149">
        <f t="shared" si="30"/>
        <v>40742.724017546061</v>
      </c>
      <c r="AF62" s="139">
        <f ca="1">IF(AA62=0,0,AA62-(total_initial_cost-SUM($AC$5:AC62)))</f>
        <v>8923929.2426021546</v>
      </c>
      <c r="AG62" s="139">
        <f t="shared" ca="1" si="31"/>
        <v>1784785.848520431</v>
      </c>
      <c r="AH62" s="149">
        <f t="shared" ca="1" si="19"/>
        <v>26299912.624850955</v>
      </c>
      <c r="AI62" s="103"/>
      <c r="AJ62" s="165">
        <f t="shared" ca="1" si="32"/>
        <v>5599912.6248509549</v>
      </c>
      <c r="AK62" s="165">
        <f t="shared" ca="1" si="40"/>
        <v>6952263.7824773798</v>
      </c>
      <c r="AL62" s="300">
        <f t="shared" ca="1" si="41"/>
        <v>0.62073783772119462</v>
      </c>
      <c r="AM62" s="300">
        <f t="shared" si="42"/>
        <v>0.14620652535107909</v>
      </c>
      <c r="AN62" s="300">
        <f t="shared" si="43"/>
        <v>0.11037645147186806</v>
      </c>
      <c r="AO62" s="301">
        <f>IF(leveraged_property,SUM(Q51:Q62)/SUM(U51:U62),"N/A")</f>
        <v>3.5298393989627108</v>
      </c>
      <c r="AP62" s="103"/>
      <c r="AQ62" s="149">
        <f t="shared" si="20"/>
        <v>148852.8776145172</v>
      </c>
      <c r="AR62" s="149">
        <f t="shared" ca="1" si="33"/>
        <v>19422618.85594273</v>
      </c>
      <c r="AS62" s="288">
        <f ca="1">IF(down_payment&lt;=0,"N/A",IRR(($AQ$4:AQ61,AR62),))</f>
        <v>1.6596954366775805E-2</v>
      </c>
      <c r="AT62" s="290">
        <f t="shared" ca="1" si="34"/>
        <v>0.21838810713399348</v>
      </c>
      <c r="AU62" s="288">
        <f ca="1">IF(down_payment&lt;=0,"N/A",MIRR(($AQ$4:AQ61,AR62),finance_rate,reinvestment_rate))</f>
        <v>1.6321326012595394E-2</v>
      </c>
      <c r="AV62" s="290">
        <f t="shared" ca="1" si="35"/>
        <v>0.21442993693650991</v>
      </c>
      <c r="AW62" s="103"/>
      <c r="AX62" s="152" t="str">
        <f t="shared" si="36"/>
        <v/>
      </c>
      <c r="AY62" s="296" t="str">
        <f>IF(AND(B62=$BA$4,OR(down_payment&lt;=0,purchase_date="")),"N/A",IF(B62=$BA$4,XIRR(AX$4:AX62,A$4:A62),""))</f>
        <v/>
      </c>
      <c r="BA62" s="178"/>
    </row>
    <row r="63" spans="1:53">
      <c r="A63" s="137">
        <f t="shared" si="21"/>
        <v>41958</v>
      </c>
      <c r="B63" s="138">
        <f t="shared" si="11"/>
        <v>59</v>
      </c>
      <c r="C63" s="139">
        <f>C62+(C62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3" s="139">
        <f t="shared" si="26"/>
        <v>10951.2</v>
      </c>
      <c r="E63" s="140">
        <f t="shared" si="12"/>
        <v>208072.8</v>
      </c>
      <c r="F63" s="141"/>
      <c r="G63" s="157">
        <f>IF(Input!$I$7="",0,IF(B63=Input!$I$7,Input!$I$6,IF(B63=Input!$I$7+12,Input!$I$6*(1+annual_incr_proptax),IF(B63=Input!$I$7+24,Input!$I$6*(1+annual_incr_proptax)^2,IF(B63=Input!$I$7+36,Input!$I$6*(1+annual_incr_proptax)^3,IF(B63=Input!$I$7+48,Input!$I$6*(1+annual_incr_proptax)^4,IF(B63=Input!$I$7+60,Input!$I$6*(1+annual_incr_proptax)^5,IF(B63=Input!$I$7+72,Input!$I$6*(1+annual_incr_proptax)^6,IF(B63=Input!$I$7+84,Input!$I$6*(1+annual_incr_proptax)^7,IF(B63=Input!$I$7+96,Input!$I$6*(1+annual_incr_proptax)^8,IF(B63=Input!$I$7+108,Input!$I$6*(1+annual_incr_proptax)^9,IF(B63=Input!$I$7+120,Input!$I$6*(1+annual_incr_proptax)^10,0))))))))))))</f>
        <v>0</v>
      </c>
      <c r="H63" s="139">
        <f>IF(Input!$I$10="",0,IF(B63=Input!$I$10,Input!$I$9,IF(B63=Input!$I$10+12,Input!$I$9*(1+annual_incr_ins),IF(B63=Input!$I$10+24,Input!$I$9*(1+annual_incr_ins)^2,IF(B63=Input!$I$10+36,Input!$I$9*(1+annual_incr_ins)^3,IF(B63=Input!$I$10+48,Input!$I$9*(1+annual_incr_ins)^4,IF(B63=Input!$I$10+60,Input!$I$9*(1+annual_incr_ins)^5,IF(B63=Input!$I$10+72,Input!$I$9*(1+annual_incr_ins)^6,IF(B63=Input!$I$10+84,Input!$I$9*(1+annual_incr_ins)^7,IF(B63=Input!$I$10+96,Input!$I$9*(1+annual_incr_ins)^8,IF(B63=Input!$I$10+108,Input!$I$9*(1+annual_incr_ins)^9,IF(B63=Input!$I$10+120,Input!$I$9*(1+annual_incr_ins)^10,0))))))))))))</f>
        <v>0</v>
      </c>
      <c r="I63" s="139">
        <f>IF(OR(Input!$I$13="",B63&lt;Input!$I$13),0,IF(AND(B63&gt;=Input!$I$13,B63&lt;Input!$I$13+12),Input!$I$12,IF(B63=Input!$I$13+12,Input!$I$12*(1+annual_incr_util),IF(B63=Input!$I$13+24,Input!$I$12*(1+annual_incr_util)^2,IF(B63=Input!$I$13+36,Input!$I$12*(1+annual_incr_util)^3,IF(B63=Input!$I$13+48,Input!$I$12*(1+annual_incr_util)^4,IF(B63=Input!$I$13+60,Input!$I$12*(1+annual_incr_util)^5,IF(B63=Input!$I$13+72,Input!$I$12*(1+annual_incr_util)^6,IF(B63=Input!$I$13+84,Input!$I$12*(1+annual_incr_util)^7,IF(B63=Input!$I$13+96,Input!$I$12*(1+annual_incr_util)^8,IF(B63=Input!$I$13+108,Input!$I$12*(1+annual_incr_util)^9,IF(B63=Input!$I$13+120,Input!$I$12*(1+annual_incr_util)^10,I62))))))))))))</f>
        <v>511.4141676738281</v>
      </c>
      <c r="J63" s="139">
        <f>IF(Input!$I$16="",0,IF(B63=Input!$I$16,Input!$I$15,IF(B63=Input!$I$16+12,Input!$I$15*(1+annual_incr_advtg),IF(B63=Input!$I$16+24,Input!$I$15*(1+annual_incr_advtg)^2,IF(B63=Input!$I$16+36,Input!$I$15*(1+annual_incr_advtg)^3,IF(B63=Input!$I$16+48,Input!$I$15*(1+annual_incr_advtg)^4,IF(B63=Input!$I$16+60,Input!$I$15*(1+annual_incr_advtg)^5,IF(B63=Input!$I$16+72,Input!$I$15*(1+annual_incr_advtg)^6,IF(B63=Input!$I$16+84,Input!$I$15*(1+annual_incr_advtg)^7,IF(B63=Input!$I$16+96,Input!$I$15*(1+annual_incr_advtg)^8,IF(B63=Input!$I$16+108,Input!$I$15*(1+annual_incr_advtg)^9,IF(B63=Input!$I$16+120,Input!$I$15*(1+annual_incr_advtg)^10,0))))))))))))</f>
        <v>0</v>
      </c>
      <c r="K63" s="139">
        <f>IF(Input!$I$19="",0,IF(B63=Input!$I$19,Input!$I$18,IF(B63=Input!$I$19+12,Input!$I$18*(1+annual_incr_other1),IF(B63=Input!$I$19+24,Input!$I$18*(1+annual_incr_other1)^2,IF(B63=Input!$I$19+36,Input!$I$18*(1+annual_incr_other1)^3,IF(B63=Input!$I$19+48,Input!$I$18*(1+annual_incr_other1)^4,IF(B63=Input!$I$19+60,Input!$I$18*(1+annual_incr_other1)^5,IF(B63=Input!$I$19+72,Input!$I$18*(1+annual_incr_other1)^6,IF(B63=Input!$I$19+84,Input!$I$18*(1+annual_incr_other1)^7,IF(B63=Input!$I$19+96,Input!$I$18*(1+annual_incr_other1)^8,IF(B63=Input!$I$19+108,Input!$I$18*(1+annual_incr_other1)^9,IF(B63=Input!$I$19+120,Input!$I$18*(1+annual_incr_other1)^10,0))))))))))))</f>
        <v>0</v>
      </c>
      <c r="L63" s="156">
        <f>IF(OR(Input!$I$22="",B63&lt;Input!$I$22),0,IF(AND(B63&gt;=Input!$I$22,B63&lt;Input!$I$22+12),Input!$I$21,IF(B63=Input!$I$22+12,Input!$I$21*(1+annual_incr_other2),IF(B63=Input!$I$22+24,Input!$I$21*(1+annual_incr_other2)^2,IF(B63=Input!$I$22+36,Input!$I$21*(1+annual_incr_other2)^3,IF(B63=Input!$I$22+48,Input!$I$21*(1+annual_incr_other2)^4,IF(B63=Input!$I$22+60,Input!$I$21*(1+annual_incr_other2)^5,IF(B63=Input!$I$22+72,Input!$I$21*(1+annual_incr_other2)^6,IF(B63=Input!$I$22+84,Input!$I$21*(1+annual_incr_other2)^7,IF(B63=Input!$I$22+96,Input!$I$21*(1+annual_incr_other2)^8,IF(B63=Input!$I$22+108,Input!$I$21*(1+annual_incr_other2)^9,IF(B63=Input!$I$22+120,Input!$I$21*(1+annual_incr_other2)^10,L62))))))))))))</f>
        <v>607.09708984374993</v>
      </c>
      <c r="M63" s="139">
        <f>IF(OR(Input!$I$27="",B63&lt;Input!$I$27),0,E63*mgmt_fee)</f>
        <v>1872.6551999999997</v>
      </c>
      <c r="N63" s="139">
        <f>IF(OR(Input!$I$29="",B63&lt;Input!$I$29),0,E63*repairs_maint)</f>
        <v>2288.8007999999995</v>
      </c>
      <c r="O63" s="149">
        <f>IF(Input!$I$31="",0,IF(OR(B63=Input!$I$31,B63=Input!$I$31+12,B63=Input!$I$31+24,B63=Input!$I$31+36,B63=Input!$I$31+48,B63=Input!$I$31+60,B63=Input!$I$31+72,B63=Input!$I$31+84,B63=Input!$I$31+96,B63=Input!$I$31+108,B63=Input!$I$31+120),E63*other_3,0))</f>
        <v>0</v>
      </c>
      <c r="P63" s="158">
        <f t="shared" si="13"/>
        <v>5279.9672575175773</v>
      </c>
      <c r="Q63" s="159">
        <f t="shared" si="14"/>
        <v>202792.83274248242</v>
      </c>
      <c r="R63" s="160"/>
      <c r="S63" s="161">
        <f>IF(AND(leveraged_property,B63&lt;=amort_period),-IPMT(interest_rate/12,B63,amort_period,loan_amount),0)</f>
        <v>40383.440602281211</v>
      </c>
      <c r="T63" s="149">
        <f t="shared" si="15"/>
        <v>13556.514525684019</v>
      </c>
      <c r="U63" s="149">
        <f>IF(AND(leveraged_property,B63&lt;=amort_period),-PMT(interest_rate/12,amort_period,loan_amount),0)</f>
        <v>53939.95512796523</v>
      </c>
      <c r="V63" s="149">
        <f t="shared" si="37"/>
        <v>8797375.9805174898</v>
      </c>
      <c r="W63" s="160"/>
      <c r="X63" s="149">
        <f t="shared" si="38"/>
        <v>104837.4140625</v>
      </c>
      <c r="Y63" s="162">
        <f t="shared" si="39"/>
        <v>25261623.292500023</v>
      </c>
      <c r="Z63" s="156">
        <f t="shared" si="27"/>
        <v>28084316.892719042</v>
      </c>
      <c r="AA63" s="163">
        <f t="shared" ca="1" si="28"/>
        <v>28084316.892719042</v>
      </c>
      <c r="AB63" s="160"/>
      <c r="AC63" s="164">
        <f>Input!$C$25/12</f>
        <v>26538.461538461535</v>
      </c>
      <c r="AD63" s="139">
        <f t="shared" si="29"/>
        <v>135870.93060173967</v>
      </c>
      <c r="AE63" s="149">
        <f t="shared" si="30"/>
        <v>40761.279180521902</v>
      </c>
      <c r="AF63" s="139">
        <f ca="1">IF(AA63=0,0,AA63-(total_initial_cost-SUM($AC$5:AC63)))</f>
        <v>8950086.1234882697</v>
      </c>
      <c r="AG63" s="139">
        <f t="shared" ca="1" si="31"/>
        <v>1790017.2246976541</v>
      </c>
      <c r="AH63" s="149">
        <f t="shared" ca="1" si="19"/>
        <v>26294299.668021388</v>
      </c>
      <c r="AI63" s="103"/>
      <c r="AJ63" s="165">
        <f t="shared" ca="1" si="32"/>
        <v>5594299.6680213884</v>
      </c>
      <c r="AK63" s="165">
        <f t="shared" ca="1" si="40"/>
        <v>6967875.5966405738</v>
      </c>
      <c r="AL63" s="300">
        <f t="shared" ca="1" si="41"/>
        <v>0.62213174970005125</v>
      </c>
      <c r="AM63" s="300">
        <f t="shared" si="42"/>
        <v>0.14884913597352453</v>
      </c>
      <c r="AN63" s="300">
        <f t="shared" si="43"/>
        <v>0.11180626977966461</v>
      </c>
      <c r="AO63" s="301">
        <f>IF(leveraged_property,SUM(Q52:Q63)/SUM(U52:U63),"N/A")</f>
        <v>3.5755649946755326</v>
      </c>
      <c r="AP63" s="103"/>
      <c r="AQ63" s="149">
        <f t="shared" si="20"/>
        <v>148852.8776145172</v>
      </c>
      <c r="AR63" s="149">
        <f t="shared" ca="1" si="33"/>
        <v>19435793.789816067</v>
      </c>
      <c r="AS63" s="288">
        <f ca="1">IF(down_payment&lt;=0,"N/A",IRR(($AQ$4:AQ62,AR63),))</f>
        <v>1.6484534831219855E-2</v>
      </c>
      <c r="AT63" s="290">
        <f t="shared" ca="1" si="34"/>
        <v>0.21677227681381983</v>
      </c>
      <c r="AU63" s="288">
        <f ca="1">IF(down_payment&lt;=0,"N/A",MIRR(($AQ$4:AQ62,AR63),finance_rate,reinvestment_rate))</f>
        <v>1.6223460536280987E-2</v>
      </c>
      <c r="AV63" s="290">
        <f t="shared" ca="1" si="35"/>
        <v>0.21302737454473197</v>
      </c>
      <c r="AW63" s="103"/>
      <c r="AX63" s="152" t="str">
        <f t="shared" si="36"/>
        <v/>
      </c>
      <c r="AY63" s="296" t="str">
        <f>IF(AND(B63=$BA$4,OR(down_payment&lt;=0,purchase_date="")),"N/A",IF(B63=$BA$4,XIRR(AX$4:AX63,A$4:A63),""))</f>
        <v/>
      </c>
      <c r="BA63" s="178"/>
    </row>
    <row r="64" spans="1:53">
      <c r="A64" s="181">
        <f t="shared" si="21"/>
        <v>41988</v>
      </c>
      <c r="B64" s="182">
        <f t="shared" si="11"/>
        <v>60</v>
      </c>
      <c r="C64" s="183">
        <f>C63+(C63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4" s="183">
        <f t="shared" si="26"/>
        <v>10951.2</v>
      </c>
      <c r="E64" s="184">
        <f t="shared" si="12"/>
        <v>208072.8</v>
      </c>
      <c r="F64" s="141"/>
      <c r="G64" s="185">
        <f>IF(Input!$I$7="",0,IF(B64=Input!$I$7,Input!$I$6,IF(B64=Input!$I$7+12,Input!$I$6*(1+annual_incr_proptax),IF(B64=Input!$I$7+24,Input!$I$6*(1+annual_incr_proptax)^2,IF(B64=Input!$I$7+36,Input!$I$6*(1+annual_incr_proptax)^3,IF(B64=Input!$I$7+48,Input!$I$6*(1+annual_incr_proptax)^4,IF(B64=Input!$I$7+60,Input!$I$6*(1+annual_incr_proptax)^5,IF(B64=Input!$I$7+72,Input!$I$6*(1+annual_incr_proptax)^6,IF(B64=Input!$I$7+84,Input!$I$6*(1+annual_incr_proptax)^7,IF(B64=Input!$I$7+96,Input!$I$6*(1+annual_incr_proptax)^8,IF(B64=Input!$I$7+108,Input!$I$6*(1+annual_incr_proptax)^9,IF(B64=Input!$I$7+120,Input!$I$6*(1+annual_incr_proptax)^10,0))))))))))))</f>
        <v>0</v>
      </c>
      <c r="H64" s="183">
        <f>IF(Input!$I$10="",0,IF(B64=Input!$I$10,Input!$I$9,IF(B64=Input!$I$10+12,Input!$I$9*(1+annual_incr_ins),IF(B64=Input!$I$10+24,Input!$I$9*(1+annual_incr_ins)^2,IF(B64=Input!$I$10+36,Input!$I$9*(1+annual_incr_ins)^3,IF(B64=Input!$I$10+48,Input!$I$9*(1+annual_incr_ins)^4,IF(B64=Input!$I$10+60,Input!$I$9*(1+annual_incr_ins)^5,IF(B64=Input!$I$10+72,Input!$I$9*(1+annual_incr_ins)^6,IF(B64=Input!$I$10+84,Input!$I$9*(1+annual_incr_ins)^7,IF(B64=Input!$I$10+96,Input!$I$9*(1+annual_incr_ins)^8,IF(B64=Input!$I$10+108,Input!$I$9*(1+annual_incr_ins)^9,IF(B64=Input!$I$10+120,Input!$I$9*(1+annual_incr_ins)^10,0))))))))))))</f>
        <v>0</v>
      </c>
      <c r="I64" s="183">
        <f>IF(OR(Input!$I$13="",B64&lt;Input!$I$13),0,IF(AND(B64&gt;=Input!$I$13,B64&lt;Input!$I$13+12),Input!$I$12,IF(B64=Input!$I$13+12,Input!$I$12*(1+annual_incr_util),IF(B64=Input!$I$13+24,Input!$I$12*(1+annual_incr_util)^2,IF(B64=Input!$I$13+36,Input!$I$12*(1+annual_incr_util)^3,IF(B64=Input!$I$13+48,Input!$I$12*(1+annual_incr_util)^4,IF(B64=Input!$I$13+60,Input!$I$12*(1+annual_incr_util)^5,IF(B64=Input!$I$13+72,Input!$I$12*(1+annual_incr_util)^6,IF(B64=Input!$I$13+84,Input!$I$12*(1+annual_incr_util)^7,IF(B64=Input!$I$13+96,Input!$I$12*(1+annual_incr_util)^8,IF(B64=Input!$I$13+108,Input!$I$12*(1+annual_incr_util)^9,IF(B64=Input!$I$13+120,Input!$I$12*(1+annual_incr_util)^10,I63))))))))))))</f>
        <v>511.4141676738281</v>
      </c>
      <c r="J64" s="183">
        <f>IF(Input!$I$16="",0,IF(B64=Input!$I$16,Input!$I$15,IF(B64=Input!$I$16+12,Input!$I$15*(1+annual_incr_advtg),IF(B64=Input!$I$16+24,Input!$I$15*(1+annual_incr_advtg)^2,IF(B64=Input!$I$16+36,Input!$I$15*(1+annual_incr_advtg)^3,IF(B64=Input!$I$16+48,Input!$I$15*(1+annual_incr_advtg)^4,IF(B64=Input!$I$16+60,Input!$I$15*(1+annual_incr_advtg)^5,IF(B64=Input!$I$16+72,Input!$I$15*(1+annual_incr_advtg)^6,IF(B64=Input!$I$16+84,Input!$I$15*(1+annual_incr_advtg)^7,IF(B64=Input!$I$16+96,Input!$I$15*(1+annual_incr_advtg)^8,IF(B64=Input!$I$16+108,Input!$I$15*(1+annual_incr_advtg)^9,IF(B64=Input!$I$16+120,Input!$I$15*(1+annual_incr_advtg)^10,0))))))))))))</f>
        <v>0</v>
      </c>
      <c r="K64" s="183">
        <f>IF(Input!$I$19="",0,IF(B64=Input!$I$19,Input!$I$18,IF(B64=Input!$I$19+12,Input!$I$18*(1+annual_incr_other1),IF(B64=Input!$I$19+24,Input!$I$18*(1+annual_incr_other1)^2,IF(B64=Input!$I$19+36,Input!$I$18*(1+annual_incr_other1)^3,IF(B64=Input!$I$19+48,Input!$I$18*(1+annual_incr_other1)^4,IF(B64=Input!$I$19+60,Input!$I$18*(1+annual_incr_other1)^5,IF(B64=Input!$I$19+72,Input!$I$18*(1+annual_incr_other1)^6,IF(B64=Input!$I$19+84,Input!$I$18*(1+annual_incr_other1)^7,IF(B64=Input!$I$19+96,Input!$I$18*(1+annual_incr_other1)^8,IF(B64=Input!$I$19+108,Input!$I$18*(1+annual_incr_other1)^9,IF(B64=Input!$I$19+120,Input!$I$18*(1+annual_incr_other1)^10,0))))))))))))</f>
        <v>0</v>
      </c>
      <c r="L64" s="183">
        <f>IF(OR(Input!$I$22="",B64&lt;Input!$I$22),0,IF(AND(B64&gt;=Input!$I$22,B64&lt;Input!$I$22+12),Input!$I$21,IF(B64=Input!$I$22+12,Input!$I$21*(1+annual_incr_other2),IF(B64=Input!$I$22+24,Input!$I$21*(1+annual_incr_other2)^2,IF(B64=Input!$I$22+36,Input!$I$21*(1+annual_incr_other2)^3,IF(B64=Input!$I$22+48,Input!$I$21*(1+annual_incr_other2)^4,IF(B64=Input!$I$22+60,Input!$I$21*(1+annual_incr_other2)^5,IF(B64=Input!$I$22+72,Input!$I$21*(1+annual_incr_other2)^6,IF(B64=Input!$I$22+84,Input!$I$21*(1+annual_incr_other2)^7,IF(B64=Input!$I$22+96,Input!$I$21*(1+annual_incr_other2)^8,IF(B64=Input!$I$22+108,Input!$I$21*(1+annual_incr_other2)^9,IF(B64=Input!$I$22+120,Input!$I$21*(1+annual_incr_other2)^10,L63))))))))))))</f>
        <v>607.09708984374993</v>
      </c>
      <c r="M64" s="183">
        <f>IF(OR(Input!$I$27="",B64&lt;Input!$I$27),0,E64*mgmt_fee)</f>
        <v>1872.6551999999997</v>
      </c>
      <c r="N64" s="183">
        <f>IF(OR(Input!$I$29="",B64&lt;Input!$I$29),0,E64*repairs_maint)</f>
        <v>2288.8007999999995</v>
      </c>
      <c r="O64" s="186">
        <f>IF(Input!$I$31="",0,IF(OR(B64=Input!$I$31,B64=Input!$I$31+12,B64=Input!$I$31+24,B64=Input!$I$31+36,B64=Input!$I$31+48,B64=Input!$I$31+60,B64=Input!$I$31+72,B64=Input!$I$31+84,B64=Input!$I$31+96,B64=Input!$I$31+108,B64=Input!$I$31+120),E64*other_3,0))</f>
        <v>0</v>
      </c>
      <c r="P64" s="187">
        <f t="shared" si="13"/>
        <v>5279.9672575175773</v>
      </c>
      <c r="Q64" s="188">
        <f t="shared" si="14"/>
        <v>202792.83274248242</v>
      </c>
      <c r="R64" s="160"/>
      <c r="S64" s="189">
        <f>IF(AND(leveraged_property,B64&lt;=amort_period),-IPMT(interest_rate/12,B64,amort_period,loan_amount),0)</f>
        <v>40321.306577371819</v>
      </c>
      <c r="T64" s="186">
        <f t="shared" si="15"/>
        <v>13618.648550593411</v>
      </c>
      <c r="U64" s="186">
        <f>IF(AND(leveraged_property,B64&lt;=amort_period),-PMT(interest_rate/12,amort_period,loan_amount),0)</f>
        <v>53939.95512796523</v>
      </c>
      <c r="V64" s="186">
        <f t="shared" si="37"/>
        <v>8783757.3319668956</v>
      </c>
      <c r="W64" s="160"/>
      <c r="X64" s="186">
        <f t="shared" si="38"/>
        <v>104837.4140625</v>
      </c>
      <c r="Y64" s="186">
        <f t="shared" si="39"/>
        <v>25362267.210000023</v>
      </c>
      <c r="Z64" s="183">
        <f t="shared" si="27"/>
        <v>28083935.312066693</v>
      </c>
      <c r="AA64" s="188">
        <f t="shared" ca="1" si="28"/>
        <v>28083935.312066693</v>
      </c>
      <c r="AB64" s="160"/>
      <c r="AC64" s="190">
        <f>Input!$C$25/12</f>
        <v>26538.461538461535</v>
      </c>
      <c r="AD64" s="183">
        <f t="shared" si="29"/>
        <v>135933.06462664908</v>
      </c>
      <c r="AE64" s="186">
        <f t="shared" si="30"/>
        <v>40779.91938799472</v>
      </c>
      <c r="AF64" s="183">
        <f ca="1">IF(AA64=0,0,AA64-(total_initial_cost-SUM($AC$5:AC64)))</f>
        <v>8976243.0043743849</v>
      </c>
      <c r="AG64" s="183">
        <f t="shared" ca="1" si="31"/>
        <v>1795248.6008748771</v>
      </c>
      <c r="AH64" s="186">
        <f t="shared" ca="1" si="19"/>
        <v>26288686.711191814</v>
      </c>
      <c r="AI64" s="103"/>
      <c r="AJ64" s="191">
        <f t="shared" ca="1" si="32"/>
        <v>5588686.7111918144</v>
      </c>
      <c r="AK64" s="191">
        <f t="shared" ca="1" si="40"/>
        <v>6983489.7331957761</v>
      </c>
      <c r="AL64" s="298">
        <f t="shared" ca="1" si="41"/>
        <v>0.62352586903533713</v>
      </c>
      <c r="AM64" s="298">
        <f t="shared" si="42"/>
        <v>0.15149174659596998</v>
      </c>
      <c r="AN64" s="298">
        <f t="shared" si="43"/>
        <v>0.11323608808746118</v>
      </c>
      <c r="AO64" s="299">
        <f>IF(leveraged_property,SUM(Q53:Q64)/SUM(U53:U64),"N/A")</f>
        <v>3.6212905903883539</v>
      </c>
      <c r="AP64" s="103"/>
      <c r="AQ64" s="186">
        <f t="shared" si="20"/>
        <v>148852.8776145172</v>
      </c>
      <c r="AR64" s="186">
        <f t="shared" ca="1" si="33"/>
        <v>19449030.857714314</v>
      </c>
      <c r="AS64" s="289">
        <f ca="1">IF(down_payment&lt;=0,"N/A",IRR(($AQ$4:AQ63,AR64),))</f>
        <v>1.6376072781092137E-2</v>
      </c>
      <c r="AT64" s="291">
        <f t="shared" ca="1" si="34"/>
        <v>0.21521519035274128</v>
      </c>
      <c r="AU64" s="289">
        <f ca="1">IF(down_payment&lt;=0,"N/A",MIRR(($AQ$4:AQ63,AR64),finance_rate,reinvestment_rate))</f>
        <v>1.6129564931663287E-2</v>
      </c>
      <c r="AV64" s="291">
        <f t="shared" ca="1" si="35"/>
        <v>0.21168310238195209</v>
      </c>
      <c r="AW64" s="103"/>
      <c r="AX64" s="192" t="str">
        <f t="shared" si="36"/>
        <v/>
      </c>
      <c r="AY64" s="296" t="str">
        <f>IF(AND(B64=$BA$4,OR(down_payment&lt;=0,purchase_date="")),"N/A",IF(B64=$BA$4,XIRR(AX$4:AX64,A$4:A64),""))</f>
        <v/>
      </c>
      <c r="BA64" s="178"/>
    </row>
    <row r="65" spans="1:53">
      <c r="A65" s="137">
        <f t="shared" si="21"/>
        <v>42019</v>
      </c>
      <c r="B65" s="138">
        <f t="shared" si="11"/>
        <v>61</v>
      </c>
      <c r="C65" s="139">
        <f>C64+(C64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5" s="139">
        <f t="shared" si="26"/>
        <v>10951.2</v>
      </c>
      <c r="E65" s="140">
        <f t="shared" si="12"/>
        <v>208072.8</v>
      </c>
      <c r="F65" s="141"/>
      <c r="G65" s="157">
        <f>IF(Input!$I$7="",0,IF(B65=Input!$I$7,Input!$I$6,IF(B65=Input!$I$7+12,Input!$I$6*(1+annual_incr_proptax),IF(B65=Input!$I$7+24,Input!$I$6*(1+annual_incr_proptax)^2,IF(B65=Input!$I$7+36,Input!$I$6*(1+annual_incr_proptax)^3,IF(B65=Input!$I$7+48,Input!$I$6*(1+annual_incr_proptax)^4,IF(B65=Input!$I$7+60,Input!$I$6*(1+annual_incr_proptax)^5,IF(B65=Input!$I$7+72,Input!$I$6*(1+annual_incr_proptax)^6,IF(B65=Input!$I$7+84,Input!$I$6*(1+annual_incr_proptax)^7,IF(B65=Input!$I$7+96,Input!$I$6*(1+annual_incr_proptax)^8,IF(B65=Input!$I$7+108,Input!$I$6*(1+annual_incr_proptax)^9,IF(B65=Input!$I$7+120,Input!$I$6*(1+annual_incr_proptax)^10,0))))))))))))</f>
        <v>0</v>
      </c>
      <c r="H65" s="139">
        <f>IF(Input!$I$10="",0,IF(B65=Input!$I$10,Input!$I$9,IF(B65=Input!$I$10+12,Input!$I$9*(1+annual_incr_ins),IF(B65=Input!$I$10+24,Input!$I$9*(1+annual_incr_ins)^2,IF(B65=Input!$I$10+36,Input!$I$9*(1+annual_incr_ins)^3,IF(B65=Input!$I$10+48,Input!$I$9*(1+annual_incr_ins)^4,IF(B65=Input!$I$10+60,Input!$I$9*(1+annual_incr_ins)^5,IF(B65=Input!$I$10+72,Input!$I$9*(1+annual_incr_ins)^6,IF(B65=Input!$I$10+84,Input!$I$9*(1+annual_incr_ins)^7,IF(B65=Input!$I$10+96,Input!$I$9*(1+annual_incr_ins)^8,IF(B65=Input!$I$10+108,Input!$I$9*(1+annual_incr_ins)^9,IF(B65=Input!$I$10+120,Input!$I$9*(1+annual_incr_ins)^10,0))))))))))))</f>
        <v>0</v>
      </c>
      <c r="I65" s="139">
        <f>IF(OR(Input!$I$13="",B65&lt;Input!$I$13),0,IF(AND(B65&gt;=Input!$I$13,B65&lt;Input!$I$13+12),Input!$I$12,IF(B65=Input!$I$13+12,Input!$I$12*(1+annual_incr_util),IF(B65=Input!$I$13+24,Input!$I$12*(1+annual_incr_util)^2,IF(B65=Input!$I$13+36,Input!$I$12*(1+annual_incr_util)^3,IF(B65=Input!$I$13+48,Input!$I$12*(1+annual_incr_util)^4,IF(B65=Input!$I$13+60,Input!$I$12*(1+annual_incr_util)^5,IF(B65=Input!$I$13+72,Input!$I$12*(1+annual_incr_util)^6,IF(B65=Input!$I$13+84,Input!$I$12*(1+annual_incr_util)^7,IF(B65=Input!$I$13+96,Input!$I$12*(1+annual_incr_util)^8,IF(B65=Input!$I$13+108,Input!$I$12*(1+annual_incr_util)^9,IF(B65=Input!$I$13+120,Input!$I$12*(1+annual_incr_util)^10,I64))))))))))))</f>
        <v>511.4141676738281</v>
      </c>
      <c r="J65" s="139">
        <f>IF(Input!$I$16="",0,IF(B65=Input!$I$16,Input!$I$15,IF(B65=Input!$I$16+12,Input!$I$15*(1+annual_incr_advtg),IF(B65=Input!$I$16+24,Input!$I$15*(1+annual_incr_advtg)^2,IF(B65=Input!$I$16+36,Input!$I$15*(1+annual_incr_advtg)^3,IF(B65=Input!$I$16+48,Input!$I$15*(1+annual_incr_advtg)^4,IF(B65=Input!$I$16+60,Input!$I$15*(1+annual_incr_advtg)^5,IF(B65=Input!$I$16+72,Input!$I$15*(1+annual_incr_advtg)^6,IF(B65=Input!$I$16+84,Input!$I$15*(1+annual_incr_advtg)^7,IF(B65=Input!$I$16+96,Input!$I$15*(1+annual_incr_advtg)^8,IF(B65=Input!$I$16+108,Input!$I$15*(1+annual_incr_advtg)^9,IF(B65=Input!$I$16+120,Input!$I$15*(1+annual_incr_advtg)^10,0))))))))))))</f>
        <v>0</v>
      </c>
      <c r="K65" s="139">
        <f>IF(Input!$I$19="",0,IF(B65=Input!$I$19,Input!$I$18,IF(B65=Input!$I$19+12,Input!$I$18*(1+annual_incr_other1),IF(B65=Input!$I$19+24,Input!$I$18*(1+annual_incr_other1)^2,IF(B65=Input!$I$19+36,Input!$I$18*(1+annual_incr_other1)^3,IF(B65=Input!$I$19+48,Input!$I$18*(1+annual_incr_other1)^4,IF(B65=Input!$I$19+60,Input!$I$18*(1+annual_incr_other1)^5,IF(B65=Input!$I$19+72,Input!$I$18*(1+annual_incr_other1)^6,IF(B65=Input!$I$19+84,Input!$I$18*(1+annual_incr_other1)^7,IF(B65=Input!$I$19+96,Input!$I$18*(1+annual_incr_other1)^8,IF(B65=Input!$I$19+108,Input!$I$18*(1+annual_incr_other1)^9,IF(B65=Input!$I$19+120,Input!$I$18*(1+annual_incr_other1)^10,0))))))))))))</f>
        <v>0</v>
      </c>
      <c r="L65" s="156">
        <f>IF(OR(Input!$I$22="",B65&lt;Input!$I$22),0,IF(AND(B65&gt;=Input!$I$22,B65&lt;Input!$I$22+12),Input!$I$21,IF(B65=Input!$I$22+12,Input!$I$21*(1+annual_incr_other2),IF(B65=Input!$I$22+24,Input!$I$21*(1+annual_incr_other2)^2,IF(B65=Input!$I$22+36,Input!$I$21*(1+annual_incr_other2)^3,IF(B65=Input!$I$22+48,Input!$I$21*(1+annual_incr_other2)^4,IF(B65=Input!$I$22+60,Input!$I$21*(1+annual_incr_other2)^5,IF(B65=Input!$I$22+72,Input!$I$21*(1+annual_incr_other2)^6,IF(B65=Input!$I$22+84,Input!$I$21*(1+annual_incr_other2)^7,IF(B65=Input!$I$22+96,Input!$I$21*(1+annual_incr_other2)^8,IF(B65=Input!$I$22+108,Input!$I$21*(1+annual_incr_other2)^9,IF(B65=Input!$I$22+120,Input!$I$21*(1+annual_incr_other2)^10,L64))))))))))))</f>
        <v>622.27451708984358</v>
      </c>
      <c r="M65" s="139">
        <f>IF(OR(Input!$I$27="",B65&lt;Input!$I$27),0,E65*mgmt_fee)</f>
        <v>1872.6551999999997</v>
      </c>
      <c r="N65" s="139">
        <f>IF(OR(Input!$I$29="",B65&lt;Input!$I$29),0,E65*repairs_maint)</f>
        <v>2288.8007999999995</v>
      </c>
      <c r="O65" s="149">
        <f>IF(Input!$I$31="",0,IF(OR(B65=Input!$I$31,B65=Input!$I$31+12,B65=Input!$I$31+24,B65=Input!$I$31+36,B65=Input!$I$31+48,B65=Input!$I$31+60,B65=Input!$I$31+72,B65=Input!$I$31+84,B65=Input!$I$31+96,B65=Input!$I$31+108,B65=Input!$I$31+120),E65*other_3,0))</f>
        <v>0</v>
      </c>
      <c r="P65" s="158">
        <f t="shared" si="13"/>
        <v>5295.1446847636707</v>
      </c>
      <c r="Q65" s="159">
        <f t="shared" si="14"/>
        <v>202777.6553152363</v>
      </c>
      <c r="R65" s="160"/>
      <c r="S65" s="161">
        <f>IF(AND(leveraged_property,B65&lt;=amort_period),-IPMT(interest_rate/12,B65,amort_period,loan_amount),0)</f>
        <v>40258.887771514936</v>
      </c>
      <c r="T65" s="149">
        <f t="shared" si="15"/>
        <v>13681.067356450294</v>
      </c>
      <c r="U65" s="149">
        <f>IF(AND(leveraged_property,B65&lt;=amort_period),-PMT(interest_rate/12,amort_period,loan_amount),0)</f>
        <v>53939.95512796523</v>
      </c>
      <c r="V65" s="149">
        <f t="shared" si="37"/>
        <v>8770076.2646104451</v>
      </c>
      <c r="W65" s="160"/>
      <c r="X65" s="149">
        <f t="shared" si="38"/>
        <v>110079.28476562499</v>
      </c>
      <c r="Y65" s="162">
        <f t="shared" si="39"/>
        <v>25467943.323375024</v>
      </c>
      <c r="Z65" s="156">
        <f t="shared" si="27"/>
        <v>28499528.319946177</v>
      </c>
      <c r="AA65" s="163">
        <f t="shared" ca="1" si="28"/>
        <v>28499528.319946177</v>
      </c>
      <c r="AB65" s="160"/>
      <c r="AC65" s="164">
        <f>Input!$C$25/12</f>
        <v>26538.461538461535</v>
      </c>
      <c r="AD65" s="139">
        <f t="shared" si="29"/>
        <v>135980.30600525983</v>
      </c>
      <c r="AE65" s="149">
        <f t="shared" si="30"/>
        <v>40794.091801577946</v>
      </c>
      <c r="AF65" s="139">
        <f ca="1">IF(AA65=0,0,AA65-(total_initial_cost-SUM($AC$5:AC65)))</f>
        <v>9418374.4737923294</v>
      </c>
      <c r="AG65" s="139">
        <f t="shared" ca="1" si="31"/>
        <v>1883674.8947584659</v>
      </c>
      <c r="AH65" s="149">
        <f t="shared" ca="1" si="19"/>
        <v>26615853.425187711</v>
      </c>
      <c r="AI65" s="103"/>
      <c r="AJ65" s="165">
        <f t="shared" ca="1" si="32"/>
        <v>5915853.4251877107</v>
      </c>
      <c r="AK65" s="165">
        <f t="shared" ca="1" si="40"/>
        <v>7311145.913685956</v>
      </c>
      <c r="AL65" s="300">
        <f t="shared" ca="1" si="41"/>
        <v>0.65278088515053179</v>
      </c>
      <c r="AM65" s="300">
        <f t="shared" si="42"/>
        <v>0.15148895416652675</v>
      </c>
      <c r="AN65" s="300">
        <f t="shared" si="43"/>
        <v>0.11323457720776244</v>
      </c>
      <c r="AO65" s="301">
        <f>IF(leveraged_property,SUM(Q54:Q65)/SUM(U54:U65),"N/A")</f>
        <v>3.6212422724490057</v>
      </c>
      <c r="AP65" s="103"/>
      <c r="AQ65" s="149">
        <f t="shared" si="20"/>
        <v>148837.70018727108</v>
      </c>
      <c r="AR65" s="149">
        <f t="shared" ca="1" si="33"/>
        <v>19878289.755523004</v>
      </c>
      <c r="AS65" s="288">
        <f ca="1">IF(down_payment&lt;=0,"N/A",IRR(($AQ$4:AQ64,AR65),))</f>
        <v>1.6552767979462087E-2</v>
      </c>
      <c r="AT65" s="290">
        <f t="shared" ca="1" si="34"/>
        <v>0.21775277215101729</v>
      </c>
      <c r="AU65" s="288">
        <f ca="1">IF(down_payment&lt;=0,"N/A",MIRR(($AQ$4:AQ64,AR65),finance_rate,reinvestment_rate))</f>
        <v>1.6272185088365587E-2</v>
      </c>
      <c r="AV65" s="290">
        <f t="shared" ca="1" si="35"/>
        <v>0.21372548640451527</v>
      </c>
      <c r="AW65" s="103"/>
      <c r="AX65" s="152" t="str">
        <f t="shared" si="36"/>
        <v/>
      </c>
      <c r="AY65" s="296" t="str">
        <f>IF(AND(B65=$BA$4,OR(down_payment&lt;=0,purchase_date="")),"N/A",IF(B65=$BA$4,XIRR(AX$4:AX65,A$4:A65),""))</f>
        <v/>
      </c>
      <c r="BA65" s="178"/>
    </row>
    <row r="66" spans="1:53">
      <c r="A66" s="137">
        <f t="shared" si="21"/>
        <v>42050</v>
      </c>
      <c r="B66" s="138">
        <f t="shared" si="11"/>
        <v>62</v>
      </c>
      <c r="C66" s="139">
        <f>C65+(C65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6" s="139">
        <f t="shared" si="26"/>
        <v>10951.2</v>
      </c>
      <c r="E66" s="140">
        <f t="shared" si="12"/>
        <v>208072.8</v>
      </c>
      <c r="F66" s="141"/>
      <c r="G66" s="157">
        <f>IF(Input!$I$7="",0,IF(B66=Input!$I$7,Input!$I$6,IF(B66=Input!$I$7+12,Input!$I$6*(1+annual_incr_proptax),IF(B66=Input!$I$7+24,Input!$I$6*(1+annual_incr_proptax)^2,IF(B66=Input!$I$7+36,Input!$I$6*(1+annual_incr_proptax)^3,IF(B66=Input!$I$7+48,Input!$I$6*(1+annual_incr_proptax)^4,IF(B66=Input!$I$7+60,Input!$I$6*(1+annual_incr_proptax)^5,IF(B66=Input!$I$7+72,Input!$I$6*(1+annual_incr_proptax)^6,IF(B66=Input!$I$7+84,Input!$I$6*(1+annual_incr_proptax)^7,IF(B66=Input!$I$7+96,Input!$I$6*(1+annual_incr_proptax)^8,IF(B66=Input!$I$7+108,Input!$I$6*(1+annual_incr_proptax)^9,IF(B66=Input!$I$7+120,Input!$I$6*(1+annual_incr_proptax)^10,0))))))))))))</f>
        <v>55821.256365403104</v>
      </c>
      <c r="H66" s="139">
        <f>IF(Input!$I$10="",0,IF(B66=Input!$I$10,Input!$I$9,IF(B66=Input!$I$10+12,Input!$I$9*(1+annual_incr_ins),IF(B66=Input!$I$10+24,Input!$I$9*(1+annual_incr_ins)^2,IF(B66=Input!$I$10+36,Input!$I$9*(1+annual_incr_ins)^3,IF(B66=Input!$I$10+48,Input!$I$9*(1+annual_incr_ins)^4,IF(B66=Input!$I$10+60,Input!$I$9*(1+annual_incr_ins)^5,IF(B66=Input!$I$10+72,Input!$I$9*(1+annual_incr_ins)^6,IF(B66=Input!$I$10+84,Input!$I$9*(1+annual_incr_ins)^7,IF(B66=Input!$I$10+96,Input!$I$9*(1+annual_incr_ins)^8,IF(B66=Input!$I$10+108,Input!$I$9*(1+annual_incr_ins)^9,IF(B66=Input!$I$10+120,Input!$I$9*(1+annual_incr_ins)^10,0))))))))))))</f>
        <v>0</v>
      </c>
      <c r="I66" s="139">
        <f>IF(OR(Input!$I$13="",B66&lt;Input!$I$13),0,IF(AND(B66&gt;=Input!$I$13,B66&lt;Input!$I$13+12),Input!$I$12,IF(B66=Input!$I$13+12,Input!$I$12*(1+annual_incr_util),IF(B66=Input!$I$13+24,Input!$I$12*(1+annual_incr_util)^2,IF(B66=Input!$I$13+36,Input!$I$12*(1+annual_incr_util)^3,IF(B66=Input!$I$13+48,Input!$I$12*(1+annual_incr_util)^4,IF(B66=Input!$I$13+60,Input!$I$12*(1+annual_incr_util)^5,IF(B66=Input!$I$13+72,Input!$I$12*(1+annual_incr_util)^6,IF(B66=Input!$I$13+84,Input!$I$12*(1+annual_incr_util)^7,IF(B66=Input!$I$13+96,Input!$I$12*(1+annual_incr_util)^8,IF(B66=Input!$I$13+108,Input!$I$12*(1+annual_incr_util)^9,IF(B66=Input!$I$13+120,Input!$I$12*(1+annual_incr_util)^10,I65))))))))))))</f>
        <v>511.4141676738281</v>
      </c>
      <c r="J66" s="139">
        <f>IF(Input!$I$16="",0,IF(B66=Input!$I$16,Input!$I$15,IF(B66=Input!$I$16+12,Input!$I$15*(1+annual_incr_advtg),IF(B66=Input!$I$16+24,Input!$I$15*(1+annual_incr_advtg)^2,IF(B66=Input!$I$16+36,Input!$I$15*(1+annual_incr_advtg)^3,IF(B66=Input!$I$16+48,Input!$I$15*(1+annual_incr_advtg)^4,IF(B66=Input!$I$16+60,Input!$I$15*(1+annual_incr_advtg)^5,IF(B66=Input!$I$16+72,Input!$I$15*(1+annual_incr_advtg)^6,IF(B66=Input!$I$16+84,Input!$I$15*(1+annual_incr_advtg)^7,IF(B66=Input!$I$16+96,Input!$I$15*(1+annual_incr_advtg)^8,IF(B66=Input!$I$16+108,Input!$I$15*(1+annual_incr_advtg)^9,IF(B66=Input!$I$16+120,Input!$I$15*(1+annual_incr_advtg)^10,0))))))))))))</f>
        <v>0</v>
      </c>
      <c r="K66" s="139">
        <f>IF(Input!$I$19="",0,IF(B66=Input!$I$19,Input!$I$18,IF(B66=Input!$I$19+12,Input!$I$18*(1+annual_incr_other1),IF(B66=Input!$I$19+24,Input!$I$18*(1+annual_incr_other1)^2,IF(B66=Input!$I$19+36,Input!$I$18*(1+annual_incr_other1)^3,IF(B66=Input!$I$19+48,Input!$I$18*(1+annual_incr_other1)^4,IF(B66=Input!$I$19+60,Input!$I$18*(1+annual_incr_other1)^5,IF(B66=Input!$I$19+72,Input!$I$18*(1+annual_incr_other1)^6,IF(B66=Input!$I$19+84,Input!$I$18*(1+annual_incr_other1)^7,IF(B66=Input!$I$19+96,Input!$I$18*(1+annual_incr_other1)^8,IF(B66=Input!$I$19+108,Input!$I$18*(1+annual_incr_other1)^9,IF(B66=Input!$I$19+120,Input!$I$18*(1+annual_incr_other1)^10,0))))))))))))</f>
        <v>0</v>
      </c>
      <c r="L66" s="156">
        <f>IF(OR(Input!$I$22="",B66&lt;Input!$I$22),0,IF(AND(B66&gt;=Input!$I$22,B66&lt;Input!$I$22+12),Input!$I$21,IF(B66=Input!$I$22+12,Input!$I$21*(1+annual_incr_other2),IF(B66=Input!$I$22+24,Input!$I$21*(1+annual_incr_other2)^2,IF(B66=Input!$I$22+36,Input!$I$21*(1+annual_incr_other2)^3,IF(B66=Input!$I$22+48,Input!$I$21*(1+annual_incr_other2)^4,IF(B66=Input!$I$22+60,Input!$I$21*(1+annual_incr_other2)^5,IF(B66=Input!$I$22+72,Input!$I$21*(1+annual_incr_other2)^6,IF(B66=Input!$I$22+84,Input!$I$21*(1+annual_incr_other2)^7,IF(B66=Input!$I$22+96,Input!$I$21*(1+annual_incr_other2)^8,IF(B66=Input!$I$22+108,Input!$I$21*(1+annual_incr_other2)^9,IF(B66=Input!$I$22+120,Input!$I$21*(1+annual_incr_other2)^10,L65))))))))))))</f>
        <v>622.27451708984358</v>
      </c>
      <c r="M66" s="139">
        <f>IF(OR(Input!$I$27="",B66&lt;Input!$I$27),0,E66*mgmt_fee)</f>
        <v>1872.6551999999997</v>
      </c>
      <c r="N66" s="139">
        <f>IF(OR(Input!$I$29="",B66&lt;Input!$I$29),0,E66*repairs_maint)</f>
        <v>2288.8007999999995</v>
      </c>
      <c r="O66" s="149">
        <f>IF(Input!$I$31="",0,IF(OR(B66=Input!$I$31,B66=Input!$I$31+12,B66=Input!$I$31+24,B66=Input!$I$31+36,B66=Input!$I$31+48,B66=Input!$I$31+60,B66=Input!$I$31+72,B66=Input!$I$31+84,B66=Input!$I$31+96,B66=Input!$I$31+108,B66=Input!$I$31+120),E66*other_3,0))</f>
        <v>2663.3318399999998</v>
      </c>
      <c r="P66" s="158">
        <f t="shared" si="13"/>
        <v>63779.732890166772</v>
      </c>
      <c r="Q66" s="159">
        <f t="shared" si="14"/>
        <v>144293.06710983321</v>
      </c>
      <c r="R66" s="160"/>
      <c r="S66" s="161">
        <f>IF(AND(leveraged_property,B66&lt;=amort_period),-IPMT(interest_rate/12,B66,amort_period,loan_amount),0)</f>
        <v>40196.182879464541</v>
      </c>
      <c r="T66" s="149">
        <f t="shared" si="15"/>
        <v>13743.772248500689</v>
      </c>
      <c r="U66" s="149">
        <f>IF(AND(leveraged_property,B66&lt;=amort_period),-PMT(interest_rate/12,amort_period,loan_amount),0)</f>
        <v>53939.95512796523</v>
      </c>
      <c r="V66" s="149">
        <f t="shared" si="37"/>
        <v>8756332.4923619442</v>
      </c>
      <c r="W66" s="160"/>
      <c r="X66" s="149">
        <f t="shared" si="38"/>
        <v>110079.28476562499</v>
      </c>
      <c r="Y66" s="162">
        <f t="shared" si="39"/>
        <v>25573619.436750025</v>
      </c>
      <c r="Z66" s="156">
        <f t="shared" si="27"/>
        <v>28886243.203198593</v>
      </c>
      <c r="AA66" s="163">
        <f t="shared" ca="1" si="28"/>
        <v>28886243.203198593</v>
      </c>
      <c r="AB66" s="160"/>
      <c r="AC66" s="164">
        <f>Input!$C$25/12</f>
        <v>26538.461538461535</v>
      </c>
      <c r="AD66" s="139">
        <f t="shared" si="29"/>
        <v>77558.422691907137</v>
      </c>
      <c r="AE66" s="149">
        <f t="shared" si="30"/>
        <v>23267.52680757214</v>
      </c>
      <c r="AF66" s="139">
        <f ca="1">IF(AA66=0,0,AA66-(total_initial_cost-SUM($AC$5:AC66)))</f>
        <v>9831627.8185832091</v>
      </c>
      <c r="AG66" s="139">
        <f t="shared" ca="1" si="31"/>
        <v>1966325.5637166419</v>
      </c>
      <c r="AH66" s="149">
        <f t="shared" ca="1" si="19"/>
        <v>26919917.639481951</v>
      </c>
      <c r="AI66" s="103"/>
      <c r="AJ66" s="165">
        <f t="shared" ca="1" si="32"/>
        <v>6219917.6394819506</v>
      </c>
      <c r="AK66" s="165">
        <f t="shared" ca="1" si="40"/>
        <v>7614380.5654686568</v>
      </c>
      <c r="AL66" s="300">
        <f t="shared" ca="1" si="41"/>
        <v>0.67985540763113006</v>
      </c>
      <c r="AM66" s="300">
        <f t="shared" si="42"/>
        <v>0.15131761929636675</v>
      </c>
      <c r="AN66" s="300">
        <f t="shared" si="43"/>
        <v>0.11314187428284495</v>
      </c>
      <c r="AO66" s="301">
        <f>IF(leveraged_property,SUM(Q55:Q66)/SUM(U55:U66),"N/A")</f>
        <v>3.6182776325062527</v>
      </c>
      <c r="AP66" s="103"/>
      <c r="AQ66" s="149">
        <f t="shared" si="20"/>
        <v>90353.111981867987</v>
      </c>
      <c r="AR66" s="149">
        <f t="shared" ca="1" si="33"/>
        <v>20220263.822818518</v>
      </c>
      <c r="AS66" s="288">
        <f ca="1">IF(down_payment&lt;=0,"N/A",IRR(($AQ$4:AQ65,AR66),))</f>
        <v>1.6659339178685038E-2</v>
      </c>
      <c r="AT66" s="290">
        <f t="shared" ca="1" si="34"/>
        <v>0.21928562592289369</v>
      </c>
      <c r="AU66" s="288">
        <f ca="1">IF(down_payment&lt;=0,"N/A",MIRR(($AQ$4:AQ65,AR66),finance_rate,reinvestment_rate))</f>
        <v>1.6356292313347343E-2</v>
      </c>
      <c r="AV66" s="290">
        <f t="shared" ca="1" si="35"/>
        <v>0.21493141800448545</v>
      </c>
      <c r="AW66" s="103"/>
      <c r="AX66" s="152" t="str">
        <f t="shared" si="36"/>
        <v/>
      </c>
      <c r="AY66" s="296" t="str">
        <f>IF(AND(B66=$BA$4,OR(down_payment&lt;=0,purchase_date="")),"N/A",IF(B66=$BA$4,XIRR(AX$4:AX66,A$4:A66),""))</f>
        <v/>
      </c>
      <c r="BA66" s="178"/>
    </row>
    <row r="67" spans="1:53">
      <c r="A67" s="137">
        <f t="shared" si="21"/>
        <v>42078</v>
      </c>
      <c r="B67" s="138">
        <f t="shared" si="11"/>
        <v>63</v>
      </c>
      <c r="C67" s="139">
        <f>C66+(C66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7" s="139">
        <f t="shared" si="26"/>
        <v>10951.2</v>
      </c>
      <c r="E67" s="140">
        <f t="shared" si="12"/>
        <v>208072.8</v>
      </c>
      <c r="F67" s="141"/>
      <c r="G67" s="157">
        <f>IF(Input!$I$7="",0,IF(B67=Input!$I$7,Input!$I$6,IF(B67=Input!$I$7+12,Input!$I$6*(1+annual_incr_proptax),IF(B67=Input!$I$7+24,Input!$I$6*(1+annual_incr_proptax)^2,IF(B67=Input!$I$7+36,Input!$I$6*(1+annual_incr_proptax)^3,IF(B67=Input!$I$7+48,Input!$I$6*(1+annual_incr_proptax)^4,IF(B67=Input!$I$7+60,Input!$I$6*(1+annual_incr_proptax)^5,IF(B67=Input!$I$7+72,Input!$I$6*(1+annual_incr_proptax)^6,IF(B67=Input!$I$7+84,Input!$I$6*(1+annual_incr_proptax)^7,IF(B67=Input!$I$7+96,Input!$I$6*(1+annual_incr_proptax)^8,IF(B67=Input!$I$7+108,Input!$I$6*(1+annual_incr_proptax)^9,IF(B67=Input!$I$7+120,Input!$I$6*(1+annual_incr_proptax)^10,0))))))))))))</f>
        <v>0</v>
      </c>
      <c r="H67" s="139">
        <f>IF(Input!$I$10="",0,IF(B67=Input!$I$10,Input!$I$9,IF(B67=Input!$I$10+12,Input!$I$9*(1+annual_incr_ins),IF(B67=Input!$I$10+24,Input!$I$9*(1+annual_incr_ins)^2,IF(B67=Input!$I$10+36,Input!$I$9*(1+annual_incr_ins)^3,IF(B67=Input!$I$10+48,Input!$I$9*(1+annual_incr_ins)^4,IF(B67=Input!$I$10+60,Input!$I$9*(1+annual_incr_ins)^5,IF(B67=Input!$I$10+72,Input!$I$9*(1+annual_incr_ins)^6,IF(B67=Input!$I$10+84,Input!$I$9*(1+annual_incr_ins)^7,IF(B67=Input!$I$10+96,Input!$I$9*(1+annual_incr_ins)^8,IF(B67=Input!$I$10+108,Input!$I$9*(1+annual_incr_ins)^9,IF(B67=Input!$I$10+120,Input!$I$9*(1+annual_incr_ins)^10,0))))))))))))</f>
        <v>0</v>
      </c>
      <c r="I67" s="139">
        <f>IF(OR(Input!$I$13="",B67&lt;Input!$I$13),0,IF(AND(B67&gt;=Input!$I$13,B67&lt;Input!$I$13+12),Input!$I$12,IF(B67=Input!$I$13+12,Input!$I$12*(1+annual_incr_util),IF(B67=Input!$I$13+24,Input!$I$12*(1+annual_incr_util)^2,IF(B67=Input!$I$13+36,Input!$I$12*(1+annual_incr_util)^3,IF(B67=Input!$I$13+48,Input!$I$12*(1+annual_incr_util)^4,IF(B67=Input!$I$13+60,Input!$I$12*(1+annual_incr_util)^5,IF(B67=Input!$I$13+72,Input!$I$12*(1+annual_incr_util)^6,IF(B67=Input!$I$13+84,Input!$I$12*(1+annual_incr_util)^7,IF(B67=Input!$I$13+96,Input!$I$12*(1+annual_incr_util)^8,IF(B67=Input!$I$13+108,Input!$I$12*(1+annual_incr_util)^9,IF(B67=Input!$I$13+120,Input!$I$12*(1+annual_incr_util)^10,I66))))))))))))</f>
        <v>511.4141676738281</v>
      </c>
      <c r="J67" s="139">
        <f>IF(Input!$I$16="",0,IF(B67=Input!$I$16,Input!$I$15,IF(B67=Input!$I$16+12,Input!$I$15*(1+annual_incr_advtg),IF(B67=Input!$I$16+24,Input!$I$15*(1+annual_incr_advtg)^2,IF(B67=Input!$I$16+36,Input!$I$15*(1+annual_incr_advtg)^3,IF(B67=Input!$I$16+48,Input!$I$15*(1+annual_incr_advtg)^4,IF(B67=Input!$I$16+60,Input!$I$15*(1+annual_incr_advtg)^5,IF(B67=Input!$I$16+72,Input!$I$15*(1+annual_incr_advtg)^6,IF(B67=Input!$I$16+84,Input!$I$15*(1+annual_incr_advtg)^7,IF(B67=Input!$I$16+96,Input!$I$15*(1+annual_incr_advtg)^8,IF(B67=Input!$I$16+108,Input!$I$15*(1+annual_incr_advtg)^9,IF(B67=Input!$I$16+120,Input!$I$15*(1+annual_incr_advtg)^10,0))))))))))))</f>
        <v>0</v>
      </c>
      <c r="K67" s="139">
        <f>IF(Input!$I$19="",0,IF(B67=Input!$I$19,Input!$I$18,IF(B67=Input!$I$19+12,Input!$I$18*(1+annual_incr_other1),IF(B67=Input!$I$19+24,Input!$I$18*(1+annual_incr_other1)^2,IF(B67=Input!$I$19+36,Input!$I$18*(1+annual_incr_other1)^3,IF(B67=Input!$I$19+48,Input!$I$18*(1+annual_incr_other1)^4,IF(B67=Input!$I$19+60,Input!$I$18*(1+annual_incr_other1)^5,IF(B67=Input!$I$19+72,Input!$I$18*(1+annual_incr_other1)^6,IF(B67=Input!$I$19+84,Input!$I$18*(1+annual_incr_other1)^7,IF(B67=Input!$I$19+96,Input!$I$18*(1+annual_incr_other1)^8,IF(B67=Input!$I$19+108,Input!$I$18*(1+annual_incr_other1)^9,IF(B67=Input!$I$19+120,Input!$I$18*(1+annual_incr_other1)^10,0))))))))))))</f>
        <v>0</v>
      </c>
      <c r="L67" s="156">
        <f>IF(OR(Input!$I$22="",B67&lt;Input!$I$22),0,IF(AND(B67&gt;=Input!$I$22,B67&lt;Input!$I$22+12),Input!$I$21,IF(B67=Input!$I$22+12,Input!$I$21*(1+annual_incr_other2),IF(B67=Input!$I$22+24,Input!$I$21*(1+annual_incr_other2)^2,IF(B67=Input!$I$22+36,Input!$I$21*(1+annual_incr_other2)^3,IF(B67=Input!$I$22+48,Input!$I$21*(1+annual_incr_other2)^4,IF(B67=Input!$I$22+60,Input!$I$21*(1+annual_incr_other2)^5,IF(B67=Input!$I$22+72,Input!$I$21*(1+annual_incr_other2)^6,IF(B67=Input!$I$22+84,Input!$I$21*(1+annual_incr_other2)^7,IF(B67=Input!$I$22+96,Input!$I$21*(1+annual_incr_other2)^8,IF(B67=Input!$I$22+108,Input!$I$21*(1+annual_incr_other2)^9,IF(B67=Input!$I$22+120,Input!$I$21*(1+annual_incr_other2)^10,L66))))))))))))</f>
        <v>622.27451708984358</v>
      </c>
      <c r="M67" s="139">
        <f>IF(OR(Input!$I$27="",B67&lt;Input!$I$27),0,E67*mgmt_fee)</f>
        <v>1872.6551999999997</v>
      </c>
      <c r="N67" s="139">
        <f>IF(OR(Input!$I$29="",B67&lt;Input!$I$29),0,E67*repairs_maint)</f>
        <v>2288.8007999999995</v>
      </c>
      <c r="O67" s="149">
        <f>IF(Input!$I$31="",0,IF(OR(B67=Input!$I$31,B67=Input!$I$31+12,B67=Input!$I$31+24,B67=Input!$I$31+36,B67=Input!$I$31+48,B67=Input!$I$31+60,B67=Input!$I$31+72,B67=Input!$I$31+84,B67=Input!$I$31+96,B67=Input!$I$31+108,B67=Input!$I$31+120),E67*other_3,0))</f>
        <v>0</v>
      </c>
      <c r="P67" s="158">
        <f t="shared" si="13"/>
        <v>5295.1446847636707</v>
      </c>
      <c r="Q67" s="159">
        <f t="shared" si="14"/>
        <v>202777.6553152363</v>
      </c>
      <c r="R67" s="160"/>
      <c r="S67" s="161">
        <f>IF(AND(leveraged_property,B67&lt;=amort_period),-IPMT(interest_rate/12,B67,amort_period,loan_amount),0)</f>
        <v>40133.190589992242</v>
      </c>
      <c r="T67" s="149">
        <f t="shared" si="15"/>
        <v>13806.764537972987</v>
      </c>
      <c r="U67" s="149">
        <f>IF(AND(leveraged_property,B67&lt;=amort_period),-PMT(interest_rate/12,amort_period,loan_amount),0)</f>
        <v>53939.95512796523</v>
      </c>
      <c r="V67" s="149">
        <f t="shared" si="37"/>
        <v>8742525.7278239708</v>
      </c>
      <c r="W67" s="160"/>
      <c r="X67" s="149">
        <f t="shared" si="38"/>
        <v>110079.28476562499</v>
      </c>
      <c r="Y67" s="162">
        <f t="shared" si="39"/>
        <v>25679295.550125025</v>
      </c>
      <c r="Z67" s="156">
        <f t="shared" si="27"/>
        <v>29301836.211078066</v>
      </c>
      <c r="AA67" s="163">
        <f t="shared" ca="1" si="28"/>
        <v>29301836.211078066</v>
      </c>
      <c r="AB67" s="160"/>
      <c r="AC67" s="164">
        <f>Input!$C$25/12</f>
        <v>26538.461538461535</v>
      </c>
      <c r="AD67" s="139">
        <f t="shared" si="29"/>
        <v>136106.00318678253</v>
      </c>
      <c r="AE67" s="149">
        <f t="shared" si="30"/>
        <v>40831.800956034756</v>
      </c>
      <c r="AF67" s="139">
        <f ca="1">IF(AA67=0,0,AA67-(total_initial_cost-SUM($AC$5:AC67)))</f>
        <v>10273759.288001142</v>
      </c>
      <c r="AG67" s="139">
        <f t="shared" ca="1" si="31"/>
        <v>2054751.8576002286</v>
      </c>
      <c r="AH67" s="149">
        <f t="shared" ca="1" si="19"/>
        <v>27247084.353477839</v>
      </c>
      <c r="AI67" s="103"/>
      <c r="AJ67" s="165">
        <f t="shared" ca="1" si="32"/>
        <v>6547084.3534778394</v>
      </c>
      <c r="AK67" s="165">
        <f t="shared" ca="1" si="40"/>
        <v>7942041.4441597164</v>
      </c>
      <c r="AL67" s="300">
        <f t="shared" ca="1" si="41"/>
        <v>0.70911084322854612</v>
      </c>
      <c r="AM67" s="300">
        <f t="shared" si="42"/>
        <v>0.15131482686692357</v>
      </c>
      <c r="AN67" s="300">
        <f t="shared" si="43"/>
        <v>0.11314036340314623</v>
      </c>
      <c r="AO67" s="301">
        <f>IF(leveraged_property,SUM(Q56:Q67)/SUM(U56:U67),"N/A")</f>
        <v>3.6182293145669049</v>
      </c>
      <c r="AP67" s="103"/>
      <c r="AQ67" s="149">
        <f t="shared" si="20"/>
        <v>148837.70018727108</v>
      </c>
      <c r="AR67" s="149">
        <f t="shared" ca="1" si="33"/>
        <v>20708148.183441363</v>
      </c>
      <c r="AS67" s="288">
        <f ca="1">IF(down_payment&lt;=0,"N/A",IRR(($AQ$4:AQ66,AR67),))</f>
        <v>1.6811122943570827E-2</v>
      </c>
      <c r="AT67" s="290">
        <f t="shared" ca="1" si="34"/>
        <v>0.22147184263721043</v>
      </c>
      <c r="AU67" s="288">
        <f ca="1">IF(down_payment&lt;=0,"N/A",MIRR(($AQ$4:AQ66,AR67),finance_rate,reinvestment_rate))</f>
        <v>1.6477518144657699E-2</v>
      </c>
      <c r="AV67" s="290">
        <f t="shared" ca="1" si="35"/>
        <v>0.21667148961727989</v>
      </c>
      <c r="AW67" s="103"/>
      <c r="AX67" s="152" t="str">
        <f t="shared" si="36"/>
        <v/>
      </c>
      <c r="AY67" s="296" t="str">
        <f>IF(AND(B67=$BA$4,OR(down_payment&lt;=0,purchase_date="")),"N/A",IF(B67=$BA$4,XIRR(AX$4:AX67,A$4:A67),""))</f>
        <v/>
      </c>
      <c r="BA67" s="178"/>
    </row>
    <row r="68" spans="1:53">
      <c r="A68" s="137">
        <f t="shared" si="21"/>
        <v>42109</v>
      </c>
      <c r="B68" s="138">
        <f t="shared" si="11"/>
        <v>64</v>
      </c>
      <c r="C68" s="139">
        <f>C67+(C67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8" s="139">
        <f t="shared" si="26"/>
        <v>10951.2</v>
      </c>
      <c r="E68" s="140">
        <f t="shared" si="12"/>
        <v>208072.8</v>
      </c>
      <c r="F68" s="141"/>
      <c r="G68" s="157">
        <f>IF(Input!$I$7="",0,IF(B68=Input!$I$7,Input!$I$6,IF(B68=Input!$I$7+12,Input!$I$6*(1+annual_incr_proptax),IF(B68=Input!$I$7+24,Input!$I$6*(1+annual_incr_proptax)^2,IF(B68=Input!$I$7+36,Input!$I$6*(1+annual_incr_proptax)^3,IF(B68=Input!$I$7+48,Input!$I$6*(1+annual_incr_proptax)^4,IF(B68=Input!$I$7+60,Input!$I$6*(1+annual_incr_proptax)^5,IF(B68=Input!$I$7+72,Input!$I$6*(1+annual_incr_proptax)^6,IF(B68=Input!$I$7+84,Input!$I$6*(1+annual_incr_proptax)^7,IF(B68=Input!$I$7+96,Input!$I$6*(1+annual_incr_proptax)^8,IF(B68=Input!$I$7+108,Input!$I$6*(1+annual_incr_proptax)^9,IF(B68=Input!$I$7+120,Input!$I$6*(1+annual_incr_proptax)^10,0))))))))))))</f>
        <v>0</v>
      </c>
      <c r="H68" s="139">
        <f>IF(Input!$I$10="",0,IF(B68=Input!$I$10,Input!$I$9,IF(B68=Input!$I$10+12,Input!$I$9*(1+annual_incr_ins),IF(B68=Input!$I$10+24,Input!$I$9*(1+annual_incr_ins)^2,IF(B68=Input!$I$10+36,Input!$I$9*(1+annual_incr_ins)^3,IF(B68=Input!$I$10+48,Input!$I$9*(1+annual_incr_ins)^4,IF(B68=Input!$I$10+60,Input!$I$9*(1+annual_incr_ins)^5,IF(B68=Input!$I$10+72,Input!$I$9*(1+annual_incr_ins)^6,IF(B68=Input!$I$10+84,Input!$I$9*(1+annual_incr_ins)^7,IF(B68=Input!$I$10+96,Input!$I$9*(1+annual_incr_ins)^8,IF(B68=Input!$I$10+108,Input!$I$9*(1+annual_incr_ins)^9,IF(B68=Input!$I$10+120,Input!$I$9*(1+annual_incr_ins)^10,0))))))))))))</f>
        <v>0</v>
      </c>
      <c r="I68" s="139">
        <f>IF(OR(Input!$I$13="",B68&lt;Input!$I$13),0,IF(AND(B68&gt;=Input!$I$13,B68&lt;Input!$I$13+12),Input!$I$12,IF(B68=Input!$I$13+12,Input!$I$12*(1+annual_incr_util),IF(B68=Input!$I$13+24,Input!$I$12*(1+annual_incr_util)^2,IF(B68=Input!$I$13+36,Input!$I$12*(1+annual_incr_util)^3,IF(B68=Input!$I$13+48,Input!$I$12*(1+annual_incr_util)^4,IF(B68=Input!$I$13+60,Input!$I$12*(1+annual_incr_util)^5,IF(B68=Input!$I$13+72,Input!$I$12*(1+annual_incr_util)^6,IF(B68=Input!$I$13+84,Input!$I$12*(1+annual_incr_util)^7,IF(B68=Input!$I$13+96,Input!$I$12*(1+annual_incr_util)^8,IF(B68=Input!$I$13+108,Input!$I$12*(1+annual_incr_util)^9,IF(B68=Input!$I$13+120,Input!$I$12*(1+annual_incr_util)^10,I67))))))))))))</f>
        <v>528.03512812322742</v>
      </c>
      <c r="J68" s="139">
        <f>IF(Input!$I$16="",0,IF(B68=Input!$I$16,Input!$I$15,IF(B68=Input!$I$16+12,Input!$I$15*(1+annual_incr_advtg),IF(B68=Input!$I$16+24,Input!$I$15*(1+annual_incr_advtg)^2,IF(B68=Input!$I$16+36,Input!$I$15*(1+annual_incr_advtg)^3,IF(B68=Input!$I$16+48,Input!$I$15*(1+annual_incr_advtg)^4,IF(B68=Input!$I$16+60,Input!$I$15*(1+annual_incr_advtg)^5,IF(B68=Input!$I$16+72,Input!$I$15*(1+annual_incr_advtg)^6,IF(B68=Input!$I$16+84,Input!$I$15*(1+annual_incr_advtg)^7,IF(B68=Input!$I$16+96,Input!$I$15*(1+annual_incr_advtg)^8,IF(B68=Input!$I$16+108,Input!$I$15*(1+annual_incr_advtg)^9,IF(B68=Input!$I$16+120,Input!$I$15*(1+annual_incr_advtg)^10,0))))))))))))</f>
        <v>0</v>
      </c>
      <c r="K68" s="139">
        <f>IF(Input!$I$19="",0,IF(B68=Input!$I$19,Input!$I$18,IF(B68=Input!$I$19+12,Input!$I$18*(1+annual_incr_other1),IF(B68=Input!$I$19+24,Input!$I$18*(1+annual_incr_other1)^2,IF(B68=Input!$I$19+36,Input!$I$18*(1+annual_incr_other1)^3,IF(B68=Input!$I$19+48,Input!$I$18*(1+annual_incr_other1)^4,IF(B68=Input!$I$19+60,Input!$I$18*(1+annual_incr_other1)^5,IF(B68=Input!$I$19+72,Input!$I$18*(1+annual_incr_other1)^6,IF(B68=Input!$I$19+84,Input!$I$18*(1+annual_incr_other1)^7,IF(B68=Input!$I$19+96,Input!$I$18*(1+annual_incr_other1)^8,IF(B68=Input!$I$19+108,Input!$I$18*(1+annual_incr_other1)^9,IF(B68=Input!$I$19+120,Input!$I$18*(1+annual_incr_other1)^10,0))))))))))))</f>
        <v>0</v>
      </c>
      <c r="L68" s="156">
        <f>IF(OR(Input!$I$22="",B68&lt;Input!$I$22),0,IF(AND(B68&gt;=Input!$I$22,B68&lt;Input!$I$22+12),Input!$I$21,IF(B68=Input!$I$22+12,Input!$I$21*(1+annual_incr_other2),IF(B68=Input!$I$22+24,Input!$I$21*(1+annual_incr_other2)^2,IF(B68=Input!$I$22+36,Input!$I$21*(1+annual_incr_other2)^3,IF(B68=Input!$I$22+48,Input!$I$21*(1+annual_incr_other2)^4,IF(B68=Input!$I$22+60,Input!$I$21*(1+annual_incr_other2)^5,IF(B68=Input!$I$22+72,Input!$I$21*(1+annual_incr_other2)^6,IF(B68=Input!$I$22+84,Input!$I$21*(1+annual_incr_other2)^7,IF(B68=Input!$I$22+96,Input!$I$21*(1+annual_incr_other2)^8,IF(B68=Input!$I$22+108,Input!$I$21*(1+annual_incr_other2)^9,IF(B68=Input!$I$22+120,Input!$I$21*(1+annual_incr_other2)^10,L67))))))))))))</f>
        <v>622.27451708984358</v>
      </c>
      <c r="M68" s="139">
        <f>IF(OR(Input!$I$27="",B68&lt;Input!$I$27),0,E68*mgmt_fee)</f>
        <v>1872.6551999999997</v>
      </c>
      <c r="N68" s="139">
        <f>IF(OR(Input!$I$29="",B68&lt;Input!$I$29),0,E68*repairs_maint)</f>
        <v>2288.8007999999995</v>
      </c>
      <c r="O68" s="149">
        <f>IF(Input!$I$31="",0,IF(OR(B68=Input!$I$31,B68=Input!$I$31+12,B68=Input!$I$31+24,B68=Input!$I$31+36,B68=Input!$I$31+48,B68=Input!$I$31+60,B68=Input!$I$31+72,B68=Input!$I$31+84,B68=Input!$I$31+96,B68=Input!$I$31+108,B68=Input!$I$31+120),E68*other_3,0))</f>
        <v>0</v>
      </c>
      <c r="P68" s="158">
        <f t="shared" si="13"/>
        <v>5311.7656452130705</v>
      </c>
      <c r="Q68" s="159">
        <f t="shared" si="14"/>
        <v>202761.03435478691</v>
      </c>
      <c r="R68" s="160"/>
      <c r="S68" s="161">
        <f>IF(AND(leveraged_property,B68&lt;=amort_period),-IPMT(interest_rate/12,B68,amort_period,loan_amount),0)</f>
        <v>40069.909585859874</v>
      </c>
      <c r="T68" s="149">
        <f t="shared" si="15"/>
        <v>13870.045542105356</v>
      </c>
      <c r="U68" s="149">
        <f>IF(AND(leveraged_property,B68&lt;=amort_period),-PMT(interest_rate/12,amort_period,loan_amount),0)</f>
        <v>53939.95512796523</v>
      </c>
      <c r="V68" s="149">
        <f t="shared" si="37"/>
        <v>8728655.6822818648</v>
      </c>
      <c r="W68" s="160"/>
      <c r="X68" s="149">
        <f t="shared" si="38"/>
        <v>110079.28476562499</v>
      </c>
      <c r="Y68" s="162">
        <f t="shared" si="39"/>
        <v>25784971.663500026</v>
      </c>
      <c r="Z68" s="156">
        <f t="shared" si="27"/>
        <v>29717422.736782975</v>
      </c>
      <c r="AA68" s="163">
        <f t="shared" ca="1" si="28"/>
        <v>29717422.736782975</v>
      </c>
      <c r="AB68" s="160"/>
      <c r="AC68" s="164">
        <f>Input!$C$25/12</f>
        <v>26538.461538461535</v>
      </c>
      <c r="AD68" s="139">
        <f t="shared" si="29"/>
        <v>136152.66323046552</v>
      </c>
      <c r="AE68" s="149">
        <f t="shared" si="30"/>
        <v>40845.798969139658</v>
      </c>
      <c r="AF68" s="139">
        <f ca="1">IF(AA68=0,0,AA68-(total_initial_cost-SUM($AC$5:AC68)))</f>
        <v>10715884.275244512</v>
      </c>
      <c r="AG68" s="139">
        <f t="shared" ca="1" si="31"/>
        <v>2143176.8550489023</v>
      </c>
      <c r="AH68" s="149">
        <f t="shared" ca="1" si="19"/>
        <v>27574245.881734073</v>
      </c>
      <c r="AI68" s="103"/>
      <c r="AJ68" s="165">
        <f t="shared" ca="1" si="32"/>
        <v>6874245.8817340732</v>
      </c>
      <c r="AK68" s="165">
        <f t="shared" ca="1" si="40"/>
        <v>8269699.1361493859</v>
      </c>
      <c r="AL68" s="300">
        <f t="shared" ca="1" si="41"/>
        <v>0.73836599429905236</v>
      </c>
      <c r="AM68" s="300">
        <f t="shared" si="42"/>
        <v>0.1513119877251651</v>
      </c>
      <c r="AN68" s="300">
        <f t="shared" si="43"/>
        <v>0.11313882724915129</v>
      </c>
      <c r="AO68" s="301">
        <f>IF(leveraged_property,SUM(Q57:Q68)/SUM(U57:U68),"N/A")</f>
        <v>3.6181801883554541</v>
      </c>
      <c r="AP68" s="103"/>
      <c r="AQ68" s="149">
        <f t="shared" si="20"/>
        <v>148821.07922682169</v>
      </c>
      <c r="AR68" s="149">
        <f t="shared" ca="1" si="33"/>
        <v>21137588.13372793</v>
      </c>
      <c r="AS68" s="288">
        <f ca="1">IF(down_payment&lt;=0,"N/A",IRR(($AQ$4:AQ67,AR68),))</f>
        <v>1.6950978671770516E-2</v>
      </c>
      <c r="AT68" s="290">
        <f t="shared" ca="1" si="34"/>
        <v>0.22348943414864153</v>
      </c>
      <c r="AU68" s="288">
        <f ca="1">IF(down_payment&lt;=0,"N/A",MIRR(($AQ$4:AQ67,AR68),finance_rate,reinvestment_rate))</f>
        <v>1.6588519286210301E-2</v>
      </c>
      <c r="AV68" s="290">
        <f t="shared" ca="1" si="35"/>
        <v>0.21826679967415363</v>
      </c>
      <c r="AW68" s="103"/>
      <c r="AX68" s="152" t="str">
        <f t="shared" si="36"/>
        <v/>
      </c>
      <c r="AY68" s="296" t="str">
        <f>IF(AND(B68=$BA$4,OR(down_payment&lt;=0,purchase_date="")),"N/A",IF(B68=$BA$4,XIRR(AX$4:AX68,A$4:A68),""))</f>
        <v/>
      </c>
      <c r="BA68" s="178"/>
    </row>
    <row r="69" spans="1:53">
      <c r="A69" s="137">
        <f t="shared" si="21"/>
        <v>42139</v>
      </c>
      <c r="B69" s="138">
        <f t="shared" si="11"/>
        <v>65</v>
      </c>
      <c r="C69" s="139">
        <f>C68+(C68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69" s="139">
        <f t="shared" ref="D69:D100" si="44">C69*vacancy_losses</f>
        <v>10951.2</v>
      </c>
      <c r="E69" s="140">
        <f t="shared" si="12"/>
        <v>208072.8</v>
      </c>
      <c r="F69" s="141"/>
      <c r="G69" s="157">
        <f>IF(Input!$I$7="",0,IF(B69=Input!$I$7,Input!$I$6,IF(B69=Input!$I$7+12,Input!$I$6*(1+annual_incr_proptax),IF(B69=Input!$I$7+24,Input!$I$6*(1+annual_incr_proptax)^2,IF(B69=Input!$I$7+36,Input!$I$6*(1+annual_incr_proptax)^3,IF(B69=Input!$I$7+48,Input!$I$6*(1+annual_incr_proptax)^4,IF(B69=Input!$I$7+60,Input!$I$6*(1+annual_incr_proptax)^5,IF(B69=Input!$I$7+72,Input!$I$6*(1+annual_incr_proptax)^6,IF(B69=Input!$I$7+84,Input!$I$6*(1+annual_incr_proptax)^7,IF(B69=Input!$I$7+96,Input!$I$6*(1+annual_incr_proptax)^8,IF(B69=Input!$I$7+108,Input!$I$6*(1+annual_incr_proptax)^9,IF(B69=Input!$I$7+120,Input!$I$6*(1+annual_incr_proptax)^10,0))))))))))))</f>
        <v>0</v>
      </c>
      <c r="H69" s="139">
        <f>IF(Input!$I$10="",0,IF(B69=Input!$I$10,Input!$I$9,IF(B69=Input!$I$10+12,Input!$I$9*(1+annual_incr_ins),IF(B69=Input!$I$10+24,Input!$I$9*(1+annual_incr_ins)^2,IF(B69=Input!$I$10+36,Input!$I$9*(1+annual_incr_ins)^3,IF(B69=Input!$I$10+48,Input!$I$9*(1+annual_incr_ins)^4,IF(B69=Input!$I$10+60,Input!$I$9*(1+annual_incr_ins)^5,IF(B69=Input!$I$10+72,Input!$I$9*(1+annual_incr_ins)^6,IF(B69=Input!$I$10+84,Input!$I$9*(1+annual_incr_ins)^7,IF(B69=Input!$I$10+96,Input!$I$9*(1+annual_incr_ins)^8,IF(B69=Input!$I$10+108,Input!$I$9*(1+annual_incr_ins)^9,IF(B69=Input!$I$10+120,Input!$I$9*(1+annual_incr_ins)^10,0))))))))))))</f>
        <v>0</v>
      </c>
      <c r="I69" s="139">
        <f>IF(OR(Input!$I$13="",B69&lt;Input!$I$13),0,IF(AND(B69&gt;=Input!$I$13,B69&lt;Input!$I$13+12),Input!$I$12,IF(B69=Input!$I$13+12,Input!$I$12*(1+annual_incr_util),IF(B69=Input!$I$13+24,Input!$I$12*(1+annual_incr_util)^2,IF(B69=Input!$I$13+36,Input!$I$12*(1+annual_incr_util)^3,IF(B69=Input!$I$13+48,Input!$I$12*(1+annual_incr_util)^4,IF(B69=Input!$I$13+60,Input!$I$12*(1+annual_incr_util)^5,IF(B69=Input!$I$13+72,Input!$I$12*(1+annual_incr_util)^6,IF(B69=Input!$I$13+84,Input!$I$12*(1+annual_incr_util)^7,IF(B69=Input!$I$13+96,Input!$I$12*(1+annual_incr_util)^8,IF(B69=Input!$I$13+108,Input!$I$12*(1+annual_incr_util)^9,IF(B69=Input!$I$13+120,Input!$I$12*(1+annual_incr_util)^10,I68))))))))))))</f>
        <v>528.03512812322742</v>
      </c>
      <c r="J69" s="139">
        <f>IF(Input!$I$16="",0,IF(B69=Input!$I$16,Input!$I$15,IF(B69=Input!$I$16+12,Input!$I$15*(1+annual_incr_advtg),IF(B69=Input!$I$16+24,Input!$I$15*(1+annual_incr_advtg)^2,IF(B69=Input!$I$16+36,Input!$I$15*(1+annual_incr_advtg)^3,IF(B69=Input!$I$16+48,Input!$I$15*(1+annual_incr_advtg)^4,IF(B69=Input!$I$16+60,Input!$I$15*(1+annual_incr_advtg)^5,IF(B69=Input!$I$16+72,Input!$I$15*(1+annual_incr_advtg)^6,IF(B69=Input!$I$16+84,Input!$I$15*(1+annual_incr_advtg)^7,IF(B69=Input!$I$16+96,Input!$I$15*(1+annual_incr_advtg)^8,IF(B69=Input!$I$16+108,Input!$I$15*(1+annual_incr_advtg)^9,IF(B69=Input!$I$16+120,Input!$I$15*(1+annual_incr_advtg)^10,0))))))))))))</f>
        <v>0</v>
      </c>
      <c r="K69" s="139">
        <f>IF(Input!$I$19="",0,IF(B69=Input!$I$19,Input!$I$18,IF(B69=Input!$I$19+12,Input!$I$18*(1+annual_incr_other1),IF(B69=Input!$I$19+24,Input!$I$18*(1+annual_incr_other1)^2,IF(B69=Input!$I$19+36,Input!$I$18*(1+annual_incr_other1)^3,IF(B69=Input!$I$19+48,Input!$I$18*(1+annual_incr_other1)^4,IF(B69=Input!$I$19+60,Input!$I$18*(1+annual_incr_other1)^5,IF(B69=Input!$I$19+72,Input!$I$18*(1+annual_incr_other1)^6,IF(B69=Input!$I$19+84,Input!$I$18*(1+annual_incr_other1)^7,IF(B69=Input!$I$19+96,Input!$I$18*(1+annual_incr_other1)^8,IF(B69=Input!$I$19+108,Input!$I$18*(1+annual_incr_other1)^9,IF(B69=Input!$I$19+120,Input!$I$18*(1+annual_incr_other1)^10,0))))))))))))</f>
        <v>5474.9380608000019</v>
      </c>
      <c r="L69" s="156">
        <f>IF(OR(Input!$I$22="",B69&lt;Input!$I$22),0,IF(AND(B69&gt;=Input!$I$22,B69&lt;Input!$I$22+12),Input!$I$21,IF(B69=Input!$I$22+12,Input!$I$21*(1+annual_incr_other2),IF(B69=Input!$I$22+24,Input!$I$21*(1+annual_incr_other2)^2,IF(B69=Input!$I$22+36,Input!$I$21*(1+annual_incr_other2)^3,IF(B69=Input!$I$22+48,Input!$I$21*(1+annual_incr_other2)^4,IF(B69=Input!$I$22+60,Input!$I$21*(1+annual_incr_other2)^5,IF(B69=Input!$I$22+72,Input!$I$21*(1+annual_incr_other2)^6,IF(B69=Input!$I$22+84,Input!$I$21*(1+annual_incr_other2)^7,IF(B69=Input!$I$22+96,Input!$I$21*(1+annual_incr_other2)^8,IF(B69=Input!$I$22+108,Input!$I$21*(1+annual_incr_other2)^9,IF(B69=Input!$I$22+120,Input!$I$21*(1+annual_incr_other2)^10,L68))))))))))))</f>
        <v>622.27451708984358</v>
      </c>
      <c r="M69" s="139">
        <f>IF(OR(Input!$I$27="",B69&lt;Input!$I$27),0,E69*mgmt_fee)</f>
        <v>1872.6551999999997</v>
      </c>
      <c r="N69" s="139">
        <f>IF(OR(Input!$I$29="",B69&lt;Input!$I$29),0,E69*repairs_maint)</f>
        <v>2288.8007999999995</v>
      </c>
      <c r="O69" s="149">
        <f>IF(Input!$I$31="",0,IF(OR(B69=Input!$I$31,B69=Input!$I$31+12,B69=Input!$I$31+24,B69=Input!$I$31+36,B69=Input!$I$31+48,B69=Input!$I$31+60,B69=Input!$I$31+72,B69=Input!$I$31+84,B69=Input!$I$31+96,B69=Input!$I$31+108,B69=Input!$I$31+120),E69*other_3,0))</f>
        <v>0</v>
      </c>
      <c r="P69" s="158">
        <f t="shared" si="13"/>
        <v>10786.703706013071</v>
      </c>
      <c r="Q69" s="159">
        <f t="shared" si="14"/>
        <v>197286.09629398692</v>
      </c>
      <c r="R69" s="160"/>
      <c r="S69" s="161">
        <f>IF(AND(leveraged_property,B69&lt;=amort_period),-IPMT(interest_rate/12,B69,amort_period,loan_amount),0)</f>
        <v>40006.338543791891</v>
      </c>
      <c r="T69" s="149">
        <f t="shared" si="15"/>
        <v>13933.616584173338</v>
      </c>
      <c r="U69" s="149">
        <f>IF(AND(leveraged_property,B69&lt;=amort_period),-PMT(interest_rate/12,amort_period,loan_amount),0)</f>
        <v>53939.95512796523</v>
      </c>
      <c r="V69" s="149">
        <f t="shared" si="37"/>
        <v>8714722.0656976923</v>
      </c>
      <c r="W69" s="160"/>
      <c r="X69" s="149">
        <f t="shared" si="38"/>
        <v>110079.28476562499</v>
      </c>
      <c r="Y69" s="162">
        <f t="shared" si="39"/>
        <v>25890647.776875027</v>
      </c>
      <c r="Z69" s="156">
        <f t="shared" ref="Z69:Z100" si="45">(SUM(Q70:Q81)/cap_rate)*(1-cost_of_sale)</f>
        <v>30130381.292218696</v>
      </c>
      <c r="AA69" s="163">
        <f t="shared" ref="AA69:AA100" ca="1" si="46">OFFSET(X69,0,option_termvalue,1,1)</f>
        <v>30130381.292218696</v>
      </c>
      <c r="AB69" s="160"/>
      <c r="AC69" s="164">
        <f>Input!$C$25/12</f>
        <v>26538.461538461535</v>
      </c>
      <c r="AD69" s="139">
        <f t="shared" ref="AD69:AD100" si="47">SUM(Q69,-S69,-AC69)</f>
        <v>130741.29621173351</v>
      </c>
      <c r="AE69" s="149">
        <f t="shared" ref="AE69:AE100" si="48">AD69*income_tax</f>
        <v>39222.388863520049</v>
      </c>
      <c r="AF69" s="139">
        <f ca="1">IF(AA69=0,0,AA69-(total_initial_cost-SUM($AC$5:AC69)))</f>
        <v>11155381.292218696</v>
      </c>
      <c r="AG69" s="139">
        <f t="shared" ref="AG69:AG100" ca="1" si="49">AF69*capital_gains_tax</f>
        <v>2231076.2584437393</v>
      </c>
      <c r="AH69" s="149">
        <f t="shared" ca="1" si="19"/>
        <v>27899305.033774957</v>
      </c>
      <c r="AI69" s="103"/>
      <c r="AJ69" s="165">
        <f t="shared" ref="AJ69:AJ100" ca="1" si="50">IF(AH69=0,0,AH69-total_initial_cost)</f>
        <v>7199305.0337749571</v>
      </c>
      <c r="AK69" s="165">
        <f t="shared" ca="1" si="40"/>
        <v>8595109.4258487504</v>
      </c>
      <c r="AL69" s="300">
        <f t="shared" ca="1" si="41"/>
        <v>0.76742048445078126</v>
      </c>
      <c r="AM69" s="300">
        <f t="shared" si="42"/>
        <v>0.15129034728512081</v>
      </c>
      <c r="AN69" s="300">
        <f t="shared" si="43"/>
        <v>0.11312711841202588</v>
      </c>
      <c r="AO69" s="301">
        <f>IF(leveraged_property,SUM(Q58:Q69)/SUM(U58:U69),"N/A")</f>
        <v>3.61780573969317</v>
      </c>
      <c r="AP69" s="103"/>
      <c r="AQ69" s="149">
        <f t="shared" si="20"/>
        <v>143346.1411660217</v>
      </c>
      <c r="AR69" s="149">
        <f t="shared" ref="AR69:AR100" ca="1" si="51">SUM(AQ69,AA69,-V69)</f>
        <v>21559005.367687024</v>
      </c>
      <c r="AS69" s="288">
        <f ca="1">IF(down_payment&lt;=0,"N/A",IRR(($AQ$4:AQ68,AR69),))</f>
        <v>1.7075097088076807E-2</v>
      </c>
      <c r="AT69" s="290">
        <f t="shared" ref="AT69:AT100" ca="1" si="52">IF(down_payment&lt;=0,"N/A",((1+AS69)^12)-1)</f>
        <v>0.22528255362155436</v>
      </c>
      <c r="AU69" s="288">
        <f ca="1">IF(down_payment&lt;=0,"N/A",MIRR(($AQ$4:AQ68,AR69),finance_rate,reinvestment_rate))</f>
        <v>1.6686187213571735E-2</v>
      </c>
      <c r="AV69" s="290">
        <f t="shared" ref="AV69:AV100" ca="1" si="53">IF(down_payment&lt;=0,"N/A",((1+AU69)^12)-1)</f>
        <v>0.21967207015433532</v>
      </c>
      <c r="AW69" s="103"/>
      <c r="AX69" s="152" t="str">
        <f t="shared" ref="AX69:AX100" si="54">IF(B69&lt;$BA$4,SUM(Q69,-U69,-AE69),IF(B69=$BA$4,SUM(Q69,-U69,-AE69,AH69,-V69),""))</f>
        <v/>
      </c>
      <c r="AY69" s="296" t="str">
        <f>IF(AND(B69=$BA$4,OR(down_payment&lt;=0,purchase_date="")),"N/A",IF(B69=$BA$4,XIRR(AX$4:AX69,A$4:A69),""))</f>
        <v/>
      </c>
      <c r="BA69" s="178"/>
    </row>
    <row r="70" spans="1:53">
      <c r="A70" s="137">
        <f t="shared" si="21"/>
        <v>42170</v>
      </c>
      <c r="B70" s="138">
        <f t="shared" ref="B70:B133" si="55">B69+1</f>
        <v>66</v>
      </c>
      <c r="C70" s="139">
        <f>C69+(C69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70" s="139">
        <f t="shared" si="44"/>
        <v>10951.2</v>
      </c>
      <c r="E70" s="140">
        <f t="shared" ref="E70:E124" si="56">SUM(C70,-D70)</f>
        <v>208072.8</v>
      </c>
      <c r="F70" s="141"/>
      <c r="G70" s="157">
        <f>IF(Input!$I$7="",0,IF(B70=Input!$I$7,Input!$I$6,IF(B70=Input!$I$7+12,Input!$I$6*(1+annual_incr_proptax),IF(B70=Input!$I$7+24,Input!$I$6*(1+annual_incr_proptax)^2,IF(B70=Input!$I$7+36,Input!$I$6*(1+annual_incr_proptax)^3,IF(B70=Input!$I$7+48,Input!$I$6*(1+annual_incr_proptax)^4,IF(B70=Input!$I$7+60,Input!$I$6*(1+annual_incr_proptax)^5,IF(B70=Input!$I$7+72,Input!$I$6*(1+annual_incr_proptax)^6,IF(B70=Input!$I$7+84,Input!$I$6*(1+annual_incr_proptax)^7,IF(B70=Input!$I$7+96,Input!$I$6*(1+annual_incr_proptax)^8,IF(B70=Input!$I$7+108,Input!$I$6*(1+annual_incr_proptax)^9,IF(B70=Input!$I$7+120,Input!$I$6*(1+annual_incr_proptax)^10,0))))))))))))</f>
        <v>0</v>
      </c>
      <c r="H70" s="139">
        <f>IF(Input!$I$10="",0,IF(B70=Input!$I$10,Input!$I$9,IF(B70=Input!$I$10+12,Input!$I$9*(1+annual_incr_ins),IF(B70=Input!$I$10+24,Input!$I$9*(1+annual_incr_ins)^2,IF(B70=Input!$I$10+36,Input!$I$9*(1+annual_incr_ins)^3,IF(B70=Input!$I$10+48,Input!$I$9*(1+annual_incr_ins)^4,IF(B70=Input!$I$10+60,Input!$I$9*(1+annual_incr_ins)^5,IF(B70=Input!$I$10+72,Input!$I$9*(1+annual_incr_ins)^6,IF(B70=Input!$I$10+84,Input!$I$9*(1+annual_incr_ins)^7,IF(B70=Input!$I$10+96,Input!$I$9*(1+annual_incr_ins)^8,IF(B70=Input!$I$10+108,Input!$I$9*(1+annual_incr_ins)^9,IF(B70=Input!$I$10+120,Input!$I$9*(1+annual_incr_ins)^10,0))))))))))))</f>
        <v>13743.280128575396</v>
      </c>
      <c r="I70" s="139">
        <f>IF(OR(Input!$I$13="",B70&lt;Input!$I$13),0,IF(AND(B70&gt;=Input!$I$13,B70&lt;Input!$I$13+12),Input!$I$12,IF(B70=Input!$I$13+12,Input!$I$12*(1+annual_incr_util),IF(B70=Input!$I$13+24,Input!$I$12*(1+annual_incr_util)^2,IF(B70=Input!$I$13+36,Input!$I$12*(1+annual_incr_util)^3,IF(B70=Input!$I$13+48,Input!$I$12*(1+annual_incr_util)^4,IF(B70=Input!$I$13+60,Input!$I$12*(1+annual_incr_util)^5,IF(B70=Input!$I$13+72,Input!$I$12*(1+annual_incr_util)^6,IF(B70=Input!$I$13+84,Input!$I$12*(1+annual_incr_util)^7,IF(B70=Input!$I$13+96,Input!$I$12*(1+annual_incr_util)^8,IF(B70=Input!$I$13+108,Input!$I$12*(1+annual_incr_util)^9,IF(B70=Input!$I$13+120,Input!$I$12*(1+annual_incr_util)^10,I69))))))))))))</f>
        <v>528.03512812322742</v>
      </c>
      <c r="J70" s="139">
        <f>IF(Input!$I$16="",0,IF(B70=Input!$I$16,Input!$I$15,IF(B70=Input!$I$16+12,Input!$I$15*(1+annual_incr_advtg),IF(B70=Input!$I$16+24,Input!$I$15*(1+annual_incr_advtg)^2,IF(B70=Input!$I$16+36,Input!$I$15*(1+annual_incr_advtg)^3,IF(B70=Input!$I$16+48,Input!$I$15*(1+annual_incr_advtg)^4,IF(B70=Input!$I$16+60,Input!$I$15*(1+annual_incr_advtg)^5,IF(B70=Input!$I$16+72,Input!$I$15*(1+annual_incr_advtg)^6,IF(B70=Input!$I$16+84,Input!$I$15*(1+annual_incr_advtg)^7,IF(B70=Input!$I$16+96,Input!$I$15*(1+annual_incr_advtg)^8,IF(B70=Input!$I$16+108,Input!$I$15*(1+annual_incr_advtg)^9,IF(B70=Input!$I$16+120,Input!$I$15*(1+annual_incr_advtg)^10,0))))))))))))</f>
        <v>0</v>
      </c>
      <c r="K70" s="139">
        <f>IF(Input!$I$19="",0,IF(B70=Input!$I$19,Input!$I$18,IF(B70=Input!$I$19+12,Input!$I$18*(1+annual_incr_other1),IF(B70=Input!$I$19+24,Input!$I$18*(1+annual_incr_other1)^2,IF(B70=Input!$I$19+36,Input!$I$18*(1+annual_incr_other1)^3,IF(B70=Input!$I$19+48,Input!$I$18*(1+annual_incr_other1)^4,IF(B70=Input!$I$19+60,Input!$I$18*(1+annual_incr_other1)^5,IF(B70=Input!$I$19+72,Input!$I$18*(1+annual_incr_other1)^6,IF(B70=Input!$I$19+84,Input!$I$18*(1+annual_incr_other1)^7,IF(B70=Input!$I$19+96,Input!$I$18*(1+annual_incr_other1)^8,IF(B70=Input!$I$19+108,Input!$I$18*(1+annual_incr_other1)^9,IF(B70=Input!$I$19+120,Input!$I$18*(1+annual_incr_other1)^10,0))))))))))))</f>
        <v>0</v>
      </c>
      <c r="L70" s="156">
        <f>IF(OR(Input!$I$22="",B70&lt;Input!$I$22),0,IF(AND(B70&gt;=Input!$I$22,B70&lt;Input!$I$22+12),Input!$I$21,IF(B70=Input!$I$22+12,Input!$I$21*(1+annual_incr_other2),IF(B70=Input!$I$22+24,Input!$I$21*(1+annual_incr_other2)^2,IF(B70=Input!$I$22+36,Input!$I$21*(1+annual_incr_other2)^3,IF(B70=Input!$I$22+48,Input!$I$21*(1+annual_incr_other2)^4,IF(B70=Input!$I$22+60,Input!$I$21*(1+annual_incr_other2)^5,IF(B70=Input!$I$22+72,Input!$I$21*(1+annual_incr_other2)^6,IF(B70=Input!$I$22+84,Input!$I$21*(1+annual_incr_other2)^7,IF(B70=Input!$I$22+96,Input!$I$21*(1+annual_incr_other2)^8,IF(B70=Input!$I$22+108,Input!$I$21*(1+annual_incr_other2)^9,IF(B70=Input!$I$22+120,Input!$I$21*(1+annual_incr_other2)^10,L69))))))))))))</f>
        <v>622.27451708984358</v>
      </c>
      <c r="M70" s="139">
        <f>IF(OR(Input!$I$27="",B70&lt;Input!$I$27),0,E70*mgmt_fee)</f>
        <v>1872.6551999999997</v>
      </c>
      <c r="N70" s="139">
        <f>IF(OR(Input!$I$29="",B70&lt;Input!$I$29),0,E70*repairs_maint)</f>
        <v>2288.8007999999995</v>
      </c>
      <c r="O70" s="149">
        <f>IF(Input!$I$31="",0,IF(OR(B70=Input!$I$31,B70=Input!$I$31+12,B70=Input!$I$31+24,B70=Input!$I$31+36,B70=Input!$I$31+48,B70=Input!$I$31+60,B70=Input!$I$31+72,B70=Input!$I$31+84,B70=Input!$I$31+96,B70=Input!$I$31+108,B70=Input!$I$31+120),E70*other_3,0))</f>
        <v>0</v>
      </c>
      <c r="P70" s="158">
        <f t="shared" ref="P70:P124" si="57">SUM(G70:O70)</f>
        <v>19055.045773788468</v>
      </c>
      <c r="Q70" s="159">
        <f t="shared" ref="Q70:Q124" si="58">SUM(E70,-P70)</f>
        <v>189017.75422621152</v>
      </c>
      <c r="R70" s="160"/>
      <c r="S70" s="161">
        <f>IF(AND(leveraged_property,B70&lt;=amort_period),-IPMT(interest_rate/12,B70,amort_period,loan_amount),0)</f>
        <v>39942.476134447759</v>
      </c>
      <c r="T70" s="149">
        <f t="shared" ref="T70:T124" si="59">U70-S70</f>
        <v>13997.47899351747</v>
      </c>
      <c r="U70" s="149">
        <f>IF(AND(leveraged_property,B70&lt;=amort_period),-PMT(interest_rate/12,amort_period,loan_amount),0)</f>
        <v>53939.95512796523</v>
      </c>
      <c r="V70" s="149">
        <f t="shared" ref="V70:V101" si="60">V69-T70</f>
        <v>8700724.5867041741</v>
      </c>
      <c r="W70" s="160"/>
      <c r="X70" s="149">
        <f t="shared" ref="X70:X101" si="61">IF(MOD(month_no-1,12)=0,X69+X69*appreciation_rate,X69)</f>
        <v>110079.28476562499</v>
      </c>
      <c r="Y70" s="162">
        <f t="shared" ref="Y70:Y101" si="62">Y69+X70*(1-cost_of_sale)</f>
        <v>25996323.890250027</v>
      </c>
      <c r="Z70" s="156">
        <f t="shared" si="45"/>
        <v>30541432.535481174</v>
      </c>
      <c r="AA70" s="163">
        <f t="shared" ca="1" si="46"/>
        <v>30541432.535481174</v>
      </c>
      <c r="AB70" s="160"/>
      <c r="AC70" s="164">
        <f>Input!$C$25/12</f>
        <v>26538.461538461535</v>
      </c>
      <c r="AD70" s="139">
        <f t="shared" si="47"/>
        <v>122536.81655330223</v>
      </c>
      <c r="AE70" s="149">
        <f t="shared" si="48"/>
        <v>36761.044965990666</v>
      </c>
      <c r="AF70" s="139">
        <f ca="1">IF(AA70=0,0,AA70-(total_initial_cost-SUM($AC$5:AC70)))</f>
        <v>11592970.997019634</v>
      </c>
      <c r="AG70" s="139">
        <f t="shared" ca="1" si="49"/>
        <v>2318594.1994039267</v>
      </c>
      <c r="AH70" s="149">
        <f t="shared" ref="AH70:AH124" ca="1" si="63">SUM(AA70,-AG70)</f>
        <v>28222838.336077247</v>
      </c>
      <c r="AI70" s="103"/>
      <c r="AJ70" s="165">
        <f t="shared" ca="1" si="50"/>
        <v>7522838.3360772468</v>
      </c>
      <c r="AK70" s="165">
        <f t="shared" ca="1" si="40"/>
        <v>8918886.1774712373</v>
      </c>
      <c r="AL70" s="300">
        <f t="shared" ca="1" si="41"/>
        <v>0.79632912298850334</v>
      </c>
      <c r="AM70" s="300">
        <f t="shared" si="42"/>
        <v>0.15125466662411172</v>
      </c>
      <c r="AN70" s="300">
        <f t="shared" si="43"/>
        <v>0.1131078129336055</v>
      </c>
      <c r="AO70" s="301">
        <f>IF(leveraged_property,SUM(Q59:Q70)/SUM(U59:U70),"N/A")</f>
        <v>3.6171883504091751</v>
      </c>
      <c r="AP70" s="103"/>
      <c r="AQ70" s="149">
        <f t="shared" si="20"/>
        <v>135077.79909824629</v>
      </c>
      <c r="AR70" s="149">
        <f t="shared" ca="1" si="51"/>
        <v>21975785.747875243</v>
      </c>
      <c r="AS70" s="288">
        <f ca="1">IF(down_payment&lt;=0,"N/A",IRR(($AQ$4:AQ69,AR70),))</f>
        <v>1.718355681153225E-2</v>
      </c>
      <c r="AT70" s="290">
        <f t="shared" ca="1" si="52"/>
        <v>0.22685142631210553</v>
      </c>
      <c r="AU70" s="288">
        <f ca="1">IF(down_payment&lt;=0,"N/A",MIRR(($AQ$4:AQ69,AR70),finance_rate,reinvestment_rate))</f>
        <v>1.6770637784882192E-2</v>
      </c>
      <c r="AV70" s="290">
        <f t="shared" ca="1" si="53"/>
        <v>0.22088836372977072</v>
      </c>
      <c r="AW70" s="103"/>
      <c r="AX70" s="152" t="str">
        <f t="shared" si="54"/>
        <v/>
      </c>
      <c r="AY70" s="296" t="str">
        <f>IF(AND(B70=$BA$4,OR(down_payment&lt;=0,purchase_date="")),"N/A",IF(B70=$BA$4,XIRR(AX$4:AX70,A$4:A70),""))</f>
        <v/>
      </c>
      <c r="BA70" s="178"/>
    </row>
    <row r="71" spans="1:53">
      <c r="A71" s="137">
        <f t="shared" si="21"/>
        <v>42200</v>
      </c>
      <c r="B71" s="138">
        <f t="shared" si="55"/>
        <v>67</v>
      </c>
      <c r="C71" s="139">
        <f>C70+(C70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71" s="139">
        <f t="shared" si="44"/>
        <v>10951.2</v>
      </c>
      <c r="E71" s="140">
        <f t="shared" si="56"/>
        <v>208072.8</v>
      </c>
      <c r="F71" s="141"/>
      <c r="G71" s="157">
        <f>IF(Input!$I$7="",0,IF(B71=Input!$I$7,Input!$I$6,IF(B71=Input!$I$7+12,Input!$I$6*(1+annual_incr_proptax),IF(B71=Input!$I$7+24,Input!$I$6*(1+annual_incr_proptax)^2,IF(B71=Input!$I$7+36,Input!$I$6*(1+annual_incr_proptax)^3,IF(B71=Input!$I$7+48,Input!$I$6*(1+annual_incr_proptax)^4,IF(B71=Input!$I$7+60,Input!$I$6*(1+annual_incr_proptax)^5,IF(B71=Input!$I$7+72,Input!$I$6*(1+annual_incr_proptax)^6,IF(B71=Input!$I$7+84,Input!$I$6*(1+annual_incr_proptax)^7,IF(B71=Input!$I$7+96,Input!$I$6*(1+annual_incr_proptax)^8,IF(B71=Input!$I$7+108,Input!$I$6*(1+annual_incr_proptax)^9,IF(B71=Input!$I$7+120,Input!$I$6*(1+annual_incr_proptax)^10,0))))))))))))</f>
        <v>0</v>
      </c>
      <c r="H71" s="139">
        <f>IF(Input!$I$10="",0,IF(B71=Input!$I$10,Input!$I$9,IF(B71=Input!$I$10+12,Input!$I$9*(1+annual_incr_ins),IF(B71=Input!$I$10+24,Input!$I$9*(1+annual_incr_ins)^2,IF(B71=Input!$I$10+36,Input!$I$9*(1+annual_incr_ins)^3,IF(B71=Input!$I$10+48,Input!$I$9*(1+annual_incr_ins)^4,IF(B71=Input!$I$10+60,Input!$I$9*(1+annual_incr_ins)^5,IF(B71=Input!$I$10+72,Input!$I$9*(1+annual_incr_ins)^6,IF(B71=Input!$I$10+84,Input!$I$9*(1+annual_incr_ins)^7,IF(B71=Input!$I$10+96,Input!$I$9*(1+annual_incr_ins)^8,IF(B71=Input!$I$10+108,Input!$I$9*(1+annual_incr_ins)^9,IF(B71=Input!$I$10+120,Input!$I$9*(1+annual_incr_ins)^10,0))))))))))))</f>
        <v>0</v>
      </c>
      <c r="I71" s="139">
        <f>IF(OR(Input!$I$13="",B71&lt;Input!$I$13),0,IF(AND(B71&gt;=Input!$I$13,B71&lt;Input!$I$13+12),Input!$I$12,IF(B71=Input!$I$13+12,Input!$I$12*(1+annual_incr_util),IF(B71=Input!$I$13+24,Input!$I$12*(1+annual_incr_util)^2,IF(B71=Input!$I$13+36,Input!$I$12*(1+annual_incr_util)^3,IF(B71=Input!$I$13+48,Input!$I$12*(1+annual_incr_util)^4,IF(B71=Input!$I$13+60,Input!$I$12*(1+annual_incr_util)^5,IF(B71=Input!$I$13+72,Input!$I$12*(1+annual_incr_util)^6,IF(B71=Input!$I$13+84,Input!$I$12*(1+annual_incr_util)^7,IF(B71=Input!$I$13+96,Input!$I$12*(1+annual_incr_util)^8,IF(B71=Input!$I$13+108,Input!$I$12*(1+annual_incr_util)^9,IF(B71=Input!$I$13+120,Input!$I$12*(1+annual_incr_util)^10,I70))))))))))))</f>
        <v>528.03512812322742</v>
      </c>
      <c r="J71" s="139">
        <f>IF(Input!$I$16="",0,IF(B71=Input!$I$16,Input!$I$15,IF(B71=Input!$I$16+12,Input!$I$15*(1+annual_incr_advtg),IF(B71=Input!$I$16+24,Input!$I$15*(1+annual_incr_advtg)^2,IF(B71=Input!$I$16+36,Input!$I$15*(1+annual_incr_advtg)^3,IF(B71=Input!$I$16+48,Input!$I$15*(1+annual_incr_advtg)^4,IF(B71=Input!$I$16+60,Input!$I$15*(1+annual_incr_advtg)^5,IF(B71=Input!$I$16+72,Input!$I$15*(1+annual_incr_advtg)^6,IF(B71=Input!$I$16+84,Input!$I$15*(1+annual_incr_advtg)^7,IF(B71=Input!$I$16+96,Input!$I$15*(1+annual_incr_advtg)^8,IF(B71=Input!$I$16+108,Input!$I$15*(1+annual_incr_advtg)^9,IF(B71=Input!$I$16+120,Input!$I$15*(1+annual_incr_advtg)^10,0))))))))))))</f>
        <v>15151.52607178777</v>
      </c>
      <c r="K71" s="139">
        <f>IF(Input!$I$19="",0,IF(B71=Input!$I$19,Input!$I$18,IF(B71=Input!$I$19+12,Input!$I$18*(1+annual_incr_other1),IF(B71=Input!$I$19+24,Input!$I$18*(1+annual_incr_other1)^2,IF(B71=Input!$I$19+36,Input!$I$18*(1+annual_incr_other1)^3,IF(B71=Input!$I$19+48,Input!$I$18*(1+annual_incr_other1)^4,IF(B71=Input!$I$19+60,Input!$I$18*(1+annual_incr_other1)^5,IF(B71=Input!$I$19+72,Input!$I$18*(1+annual_incr_other1)^6,IF(B71=Input!$I$19+84,Input!$I$18*(1+annual_incr_other1)^7,IF(B71=Input!$I$19+96,Input!$I$18*(1+annual_incr_other1)^8,IF(B71=Input!$I$19+108,Input!$I$18*(1+annual_incr_other1)^9,IF(B71=Input!$I$19+120,Input!$I$18*(1+annual_incr_other1)^10,0))))))))))))</f>
        <v>0</v>
      </c>
      <c r="L71" s="156">
        <f>IF(OR(Input!$I$22="",B71&lt;Input!$I$22),0,IF(AND(B71&gt;=Input!$I$22,B71&lt;Input!$I$22+12),Input!$I$21,IF(B71=Input!$I$22+12,Input!$I$21*(1+annual_incr_other2),IF(B71=Input!$I$22+24,Input!$I$21*(1+annual_incr_other2)^2,IF(B71=Input!$I$22+36,Input!$I$21*(1+annual_incr_other2)^3,IF(B71=Input!$I$22+48,Input!$I$21*(1+annual_incr_other2)^4,IF(B71=Input!$I$22+60,Input!$I$21*(1+annual_incr_other2)^5,IF(B71=Input!$I$22+72,Input!$I$21*(1+annual_incr_other2)^6,IF(B71=Input!$I$22+84,Input!$I$21*(1+annual_incr_other2)^7,IF(B71=Input!$I$22+96,Input!$I$21*(1+annual_incr_other2)^8,IF(B71=Input!$I$22+108,Input!$I$21*(1+annual_incr_other2)^9,IF(B71=Input!$I$22+120,Input!$I$21*(1+annual_incr_other2)^10,L70))))))))))))</f>
        <v>622.27451708984358</v>
      </c>
      <c r="M71" s="139">
        <f>IF(OR(Input!$I$27="",B71&lt;Input!$I$27),0,E71*mgmt_fee)</f>
        <v>1872.6551999999997</v>
      </c>
      <c r="N71" s="139">
        <f>IF(OR(Input!$I$29="",B71&lt;Input!$I$29),0,E71*repairs_maint)</f>
        <v>2288.8007999999995</v>
      </c>
      <c r="O71" s="149">
        <f>IF(Input!$I$31="",0,IF(OR(B71=Input!$I$31,B71=Input!$I$31+12,B71=Input!$I$31+24,B71=Input!$I$31+36,B71=Input!$I$31+48,B71=Input!$I$31+60,B71=Input!$I$31+72,B71=Input!$I$31+84,B71=Input!$I$31+96,B71=Input!$I$31+108,B71=Input!$I$31+120),E71*other_3,0))</f>
        <v>0</v>
      </c>
      <c r="P71" s="158">
        <f t="shared" si="57"/>
        <v>20463.29171700084</v>
      </c>
      <c r="Q71" s="159">
        <f t="shared" si="58"/>
        <v>187609.50828299916</v>
      </c>
      <c r="R71" s="160"/>
      <c r="S71" s="161">
        <f>IF(AND(leveraged_property,B71&lt;=amort_period),-IPMT(interest_rate/12,B71,amort_period,loan_amount),0)</f>
        <v>39878.321022394142</v>
      </c>
      <c r="T71" s="149">
        <f t="shared" si="59"/>
        <v>14061.634105571087</v>
      </c>
      <c r="U71" s="149">
        <f>IF(AND(leveraged_property,B71&lt;=amort_period),-PMT(interest_rate/12,amort_period,loan_amount),0)</f>
        <v>53939.95512796523</v>
      </c>
      <c r="V71" s="149">
        <f t="shared" si="60"/>
        <v>8686662.9525986034</v>
      </c>
      <c r="W71" s="160"/>
      <c r="X71" s="149">
        <f t="shared" si="61"/>
        <v>110079.28476562499</v>
      </c>
      <c r="Y71" s="162">
        <f t="shared" si="62"/>
        <v>26102000.003625028</v>
      </c>
      <c r="Z71" s="156">
        <f t="shared" si="45"/>
        <v>30946709.962846838</v>
      </c>
      <c r="AA71" s="163">
        <f t="shared" ca="1" si="46"/>
        <v>30946709.962846838</v>
      </c>
      <c r="AB71" s="160"/>
      <c r="AC71" s="164">
        <f>Input!$C$25/12</f>
        <v>26538.461538461535</v>
      </c>
      <c r="AD71" s="139">
        <f t="shared" si="47"/>
        <v>121192.72572214348</v>
      </c>
      <c r="AE71" s="149">
        <f t="shared" si="48"/>
        <v>36357.817716643047</v>
      </c>
      <c r="AF71" s="139">
        <f ca="1">IF(AA71=0,0,AA71-(total_initial_cost-SUM($AC$5:AC71)))</f>
        <v>12024786.885923758</v>
      </c>
      <c r="AG71" s="139">
        <f t="shared" ca="1" si="49"/>
        <v>2404957.3771847519</v>
      </c>
      <c r="AH71" s="149">
        <f t="shared" ca="1" si="63"/>
        <v>28541752.585662086</v>
      </c>
      <c r="AI71" s="103"/>
      <c r="AJ71" s="165">
        <f t="shared" ca="1" si="50"/>
        <v>7841752.5856620856</v>
      </c>
      <c r="AK71" s="165">
        <f t="shared" ca="1" si="40"/>
        <v>9237734.655512603</v>
      </c>
      <c r="AL71" s="300">
        <f t="shared" ca="1" si="41"/>
        <v>0.82479773709933957</v>
      </c>
      <c r="AM71" s="300">
        <f t="shared" si="42"/>
        <v>0.15117923866742142</v>
      </c>
      <c r="AN71" s="300">
        <f t="shared" si="43"/>
        <v>0.11306700167201461</v>
      </c>
      <c r="AO71" s="301">
        <f>IF(leveraged_property,SUM(Q60:Q71)/SUM(U60:U71),"N/A")</f>
        <v>3.6158832060856905</v>
      </c>
      <c r="AP71" s="103"/>
      <c r="AQ71" s="149">
        <f t="shared" ref="AQ71:AQ124" si="64">SUM(Q71,-U71)</f>
        <v>133669.55315503394</v>
      </c>
      <c r="AR71" s="149">
        <f t="shared" ca="1" si="51"/>
        <v>22393716.563403271</v>
      </c>
      <c r="AS71" s="288">
        <f ca="1">IF(down_payment&lt;=0,"N/A",IRR(($AQ$4:AQ70,AR71),))</f>
        <v>1.7279174534851786E-2</v>
      </c>
      <c r="AT71" s="290">
        <f t="shared" ca="1" si="52"/>
        <v>0.22823606618728709</v>
      </c>
      <c r="AU71" s="288">
        <f ca="1">IF(down_payment&lt;=0,"N/A",MIRR(($AQ$4:AQ70,AR71),finance_rate,reinvestment_rate))</f>
        <v>1.6844250761901991E-2</v>
      </c>
      <c r="AV71" s="290">
        <f t="shared" ca="1" si="53"/>
        <v>0.22194947646399443</v>
      </c>
      <c r="AW71" s="103"/>
      <c r="AX71" s="152" t="str">
        <f t="shared" si="54"/>
        <v/>
      </c>
      <c r="AY71" s="296" t="str">
        <f>IF(AND(B71=$BA$4,OR(down_payment&lt;=0,purchase_date="")),"N/A",IF(B71=$BA$4,XIRR(AX$4:AX71,A$4:A71),""))</f>
        <v/>
      </c>
      <c r="BA71" s="178"/>
    </row>
    <row r="72" spans="1:53">
      <c r="A72" s="137">
        <f t="shared" ref="A72:A135" si="65">EDATE(A71,1)</f>
        <v>42231</v>
      </c>
      <c r="B72" s="138">
        <f t="shared" si="55"/>
        <v>68</v>
      </c>
      <c r="C72" s="139">
        <f>C71+(C71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72" s="139">
        <f t="shared" si="44"/>
        <v>10951.2</v>
      </c>
      <c r="E72" s="140">
        <f t="shared" si="56"/>
        <v>208072.8</v>
      </c>
      <c r="F72" s="141"/>
      <c r="G72" s="157">
        <f>IF(Input!$I$7="",0,IF(B72=Input!$I$7,Input!$I$6,IF(B72=Input!$I$7+12,Input!$I$6*(1+annual_incr_proptax),IF(B72=Input!$I$7+24,Input!$I$6*(1+annual_incr_proptax)^2,IF(B72=Input!$I$7+36,Input!$I$6*(1+annual_incr_proptax)^3,IF(B72=Input!$I$7+48,Input!$I$6*(1+annual_incr_proptax)^4,IF(B72=Input!$I$7+60,Input!$I$6*(1+annual_incr_proptax)^5,IF(B72=Input!$I$7+72,Input!$I$6*(1+annual_incr_proptax)^6,IF(B72=Input!$I$7+84,Input!$I$6*(1+annual_incr_proptax)^7,IF(B72=Input!$I$7+96,Input!$I$6*(1+annual_incr_proptax)^8,IF(B72=Input!$I$7+108,Input!$I$6*(1+annual_incr_proptax)^9,IF(B72=Input!$I$7+120,Input!$I$6*(1+annual_incr_proptax)^10,0))))))))))))</f>
        <v>0</v>
      </c>
      <c r="H72" s="139">
        <f>IF(Input!$I$10="",0,IF(B72=Input!$I$10,Input!$I$9,IF(B72=Input!$I$10+12,Input!$I$9*(1+annual_incr_ins),IF(B72=Input!$I$10+24,Input!$I$9*(1+annual_incr_ins)^2,IF(B72=Input!$I$10+36,Input!$I$9*(1+annual_incr_ins)^3,IF(B72=Input!$I$10+48,Input!$I$9*(1+annual_incr_ins)^4,IF(B72=Input!$I$10+60,Input!$I$9*(1+annual_incr_ins)^5,IF(B72=Input!$I$10+72,Input!$I$9*(1+annual_incr_ins)^6,IF(B72=Input!$I$10+84,Input!$I$9*(1+annual_incr_ins)^7,IF(B72=Input!$I$10+96,Input!$I$9*(1+annual_incr_ins)^8,IF(B72=Input!$I$10+108,Input!$I$9*(1+annual_incr_ins)^9,IF(B72=Input!$I$10+120,Input!$I$9*(1+annual_incr_ins)^10,0))))))))))))</f>
        <v>0</v>
      </c>
      <c r="I72" s="139">
        <f>IF(OR(Input!$I$13="",B72&lt;Input!$I$13),0,IF(AND(B72&gt;=Input!$I$13,B72&lt;Input!$I$13+12),Input!$I$12,IF(B72=Input!$I$13+12,Input!$I$12*(1+annual_incr_util),IF(B72=Input!$I$13+24,Input!$I$12*(1+annual_incr_util)^2,IF(B72=Input!$I$13+36,Input!$I$12*(1+annual_incr_util)^3,IF(B72=Input!$I$13+48,Input!$I$12*(1+annual_incr_util)^4,IF(B72=Input!$I$13+60,Input!$I$12*(1+annual_incr_util)^5,IF(B72=Input!$I$13+72,Input!$I$12*(1+annual_incr_util)^6,IF(B72=Input!$I$13+84,Input!$I$12*(1+annual_incr_util)^7,IF(B72=Input!$I$13+96,Input!$I$12*(1+annual_incr_util)^8,IF(B72=Input!$I$13+108,Input!$I$12*(1+annual_incr_util)^9,IF(B72=Input!$I$13+120,Input!$I$12*(1+annual_incr_util)^10,I71))))))))))))</f>
        <v>528.03512812322742</v>
      </c>
      <c r="J72" s="139">
        <f>IF(Input!$I$16="",0,IF(B72=Input!$I$16,Input!$I$15,IF(B72=Input!$I$16+12,Input!$I$15*(1+annual_incr_advtg),IF(B72=Input!$I$16+24,Input!$I$15*(1+annual_incr_advtg)^2,IF(B72=Input!$I$16+36,Input!$I$15*(1+annual_incr_advtg)^3,IF(B72=Input!$I$16+48,Input!$I$15*(1+annual_incr_advtg)^4,IF(B72=Input!$I$16+60,Input!$I$15*(1+annual_incr_advtg)^5,IF(B72=Input!$I$16+72,Input!$I$15*(1+annual_incr_advtg)^6,IF(B72=Input!$I$16+84,Input!$I$15*(1+annual_incr_advtg)^7,IF(B72=Input!$I$16+96,Input!$I$15*(1+annual_incr_advtg)^8,IF(B72=Input!$I$16+108,Input!$I$15*(1+annual_incr_advtg)^9,IF(B72=Input!$I$16+120,Input!$I$15*(1+annual_incr_advtg)^10,0))))))))))))</f>
        <v>0</v>
      </c>
      <c r="K72" s="139">
        <f>IF(Input!$I$19="",0,IF(B72=Input!$I$19,Input!$I$18,IF(B72=Input!$I$19+12,Input!$I$18*(1+annual_incr_other1),IF(B72=Input!$I$19+24,Input!$I$18*(1+annual_incr_other1)^2,IF(B72=Input!$I$19+36,Input!$I$18*(1+annual_incr_other1)^3,IF(B72=Input!$I$19+48,Input!$I$18*(1+annual_incr_other1)^4,IF(B72=Input!$I$19+60,Input!$I$18*(1+annual_incr_other1)^5,IF(B72=Input!$I$19+72,Input!$I$18*(1+annual_incr_other1)^6,IF(B72=Input!$I$19+84,Input!$I$18*(1+annual_incr_other1)^7,IF(B72=Input!$I$19+96,Input!$I$18*(1+annual_incr_other1)^8,IF(B72=Input!$I$19+108,Input!$I$18*(1+annual_incr_other1)^9,IF(B72=Input!$I$19+120,Input!$I$18*(1+annual_incr_other1)^10,0))))))))))))</f>
        <v>0</v>
      </c>
      <c r="L72" s="156">
        <f>IF(OR(Input!$I$22="",B72&lt;Input!$I$22),0,IF(AND(B72&gt;=Input!$I$22,B72&lt;Input!$I$22+12),Input!$I$21,IF(B72=Input!$I$22+12,Input!$I$21*(1+annual_incr_other2),IF(B72=Input!$I$22+24,Input!$I$21*(1+annual_incr_other2)^2,IF(B72=Input!$I$22+36,Input!$I$21*(1+annual_incr_other2)^3,IF(B72=Input!$I$22+48,Input!$I$21*(1+annual_incr_other2)^4,IF(B72=Input!$I$22+60,Input!$I$21*(1+annual_incr_other2)^5,IF(B72=Input!$I$22+72,Input!$I$21*(1+annual_incr_other2)^6,IF(B72=Input!$I$22+84,Input!$I$21*(1+annual_incr_other2)^7,IF(B72=Input!$I$22+96,Input!$I$21*(1+annual_incr_other2)^8,IF(B72=Input!$I$22+108,Input!$I$21*(1+annual_incr_other2)^9,IF(B72=Input!$I$22+120,Input!$I$21*(1+annual_incr_other2)^10,L71))))))))))))</f>
        <v>622.27451708984358</v>
      </c>
      <c r="M72" s="139">
        <f>IF(OR(Input!$I$27="",B72&lt;Input!$I$27),0,E72*mgmt_fee)</f>
        <v>1872.6551999999997</v>
      </c>
      <c r="N72" s="139">
        <f>IF(OR(Input!$I$29="",B72&lt;Input!$I$29),0,E72*repairs_maint)</f>
        <v>2288.8007999999995</v>
      </c>
      <c r="O72" s="149">
        <f>IF(Input!$I$31="",0,IF(OR(B72=Input!$I$31,B72=Input!$I$31+12,B72=Input!$I$31+24,B72=Input!$I$31+36,B72=Input!$I$31+48,B72=Input!$I$31+60,B72=Input!$I$31+72,B72=Input!$I$31+84,B72=Input!$I$31+96,B72=Input!$I$31+108,B72=Input!$I$31+120),E72*other_3,0))</f>
        <v>0</v>
      </c>
      <c r="P72" s="158">
        <f t="shared" si="57"/>
        <v>5311.7656452130705</v>
      </c>
      <c r="Q72" s="159">
        <f t="shared" si="58"/>
        <v>202761.03435478691</v>
      </c>
      <c r="R72" s="160"/>
      <c r="S72" s="161">
        <f>IF(AND(leveraged_property,B72&lt;=amort_period),-IPMT(interest_rate/12,B72,amort_period,loan_amount),0)</f>
        <v>39813.871866076945</v>
      </c>
      <c r="T72" s="149">
        <f t="shared" si="59"/>
        <v>14126.083261888285</v>
      </c>
      <c r="U72" s="149">
        <f>IF(AND(leveraged_property,B72&lt;=amort_period),-PMT(interest_rate/12,amort_period,loan_amount),0)</f>
        <v>53939.95512796523</v>
      </c>
      <c r="V72" s="149">
        <f t="shared" si="60"/>
        <v>8672536.869336715</v>
      </c>
      <c r="W72" s="160"/>
      <c r="X72" s="149">
        <f t="shared" si="61"/>
        <v>110079.28476562499</v>
      </c>
      <c r="Y72" s="162">
        <f t="shared" si="62"/>
        <v>26207676.117000028</v>
      </c>
      <c r="Z72" s="156">
        <f t="shared" si="45"/>
        <v>31362296.48855174</v>
      </c>
      <c r="AA72" s="163">
        <f t="shared" ca="1" si="46"/>
        <v>31362296.48855174</v>
      </c>
      <c r="AB72" s="160"/>
      <c r="AC72" s="164">
        <f>Input!$C$25/12</f>
        <v>26538.461538461535</v>
      </c>
      <c r="AD72" s="139">
        <f t="shared" si="47"/>
        <v>136408.70095024843</v>
      </c>
      <c r="AE72" s="149">
        <f t="shared" si="48"/>
        <v>40922.61028507453</v>
      </c>
      <c r="AF72" s="139">
        <f ca="1">IF(AA72=0,0,AA72-(total_initial_cost-SUM($AC$5:AC72)))</f>
        <v>12466911.873167124</v>
      </c>
      <c r="AG72" s="139">
        <f t="shared" ca="1" si="49"/>
        <v>2493382.3746334249</v>
      </c>
      <c r="AH72" s="149">
        <f t="shared" ca="1" si="63"/>
        <v>28868914.113918316</v>
      </c>
      <c r="AI72" s="103"/>
      <c r="AJ72" s="165">
        <f t="shared" ca="1" si="50"/>
        <v>8168914.1139183156</v>
      </c>
      <c r="AK72" s="165">
        <f t="shared" ca="1" si="40"/>
        <v>9565401.9174594264</v>
      </c>
      <c r="AL72" s="300">
        <f t="shared" ca="1" si="41"/>
        <v>0.85405374263030598</v>
      </c>
      <c r="AM72" s="300">
        <f t="shared" si="42"/>
        <v>0.15117639952566286</v>
      </c>
      <c r="AN72" s="300">
        <f t="shared" si="43"/>
        <v>0.11306546551801966</v>
      </c>
      <c r="AO72" s="301">
        <f>IF(leveraged_property,SUM(Q61:Q72)/SUM(U61:U72),"N/A")</f>
        <v>3.6158340798742392</v>
      </c>
      <c r="AP72" s="103"/>
      <c r="AQ72" s="149">
        <f t="shared" si="64"/>
        <v>148821.07922682169</v>
      </c>
      <c r="AR72" s="149">
        <f t="shared" ca="1" si="51"/>
        <v>22838580.698441848</v>
      </c>
      <c r="AS72" s="288">
        <f ca="1">IF(down_payment&lt;=0,"N/A",IRR(($AQ$4:AQ71,AR72),))</f>
        <v>1.7379843327373898E-2</v>
      </c>
      <c r="AT72" s="290">
        <f t="shared" ca="1" si="52"/>
        <v>0.22969539845831677</v>
      </c>
      <c r="AU72" s="288">
        <f ca="1">IF(down_payment&lt;=0,"N/A",MIRR(($AQ$4:AQ71,AR72),finance_rate,reinvestment_rate))</f>
        <v>1.6921822464727621E-2</v>
      </c>
      <c r="AV72" s="290">
        <f t="shared" ca="1" si="53"/>
        <v>0.22306856800058461</v>
      </c>
      <c r="AW72" s="103"/>
      <c r="AX72" s="152" t="str">
        <f t="shared" si="54"/>
        <v/>
      </c>
      <c r="AY72" s="296" t="str">
        <f>IF(AND(B72=$BA$4,OR(down_payment&lt;=0,purchase_date="")),"N/A",IF(B72=$BA$4,XIRR(AX$4:AX72,A$4:A72),""))</f>
        <v/>
      </c>
      <c r="BA72" s="178"/>
    </row>
    <row r="73" spans="1:53">
      <c r="A73" s="137">
        <f t="shared" si="65"/>
        <v>42262</v>
      </c>
      <c r="B73" s="138">
        <f t="shared" si="55"/>
        <v>69</v>
      </c>
      <c r="C73" s="139">
        <f>C72+(C72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73" s="139">
        <f t="shared" si="44"/>
        <v>10951.2</v>
      </c>
      <c r="E73" s="140">
        <f t="shared" si="56"/>
        <v>208072.8</v>
      </c>
      <c r="F73" s="141"/>
      <c r="G73" s="157">
        <f>IF(Input!$I$7="",0,IF(B73=Input!$I$7,Input!$I$6,IF(B73=Input!$I$7+12,Input!$I$6*(1+annual_incr_proptax),IF(B73=Input!$I$7+24,Input!$I$6*(1+annual_incr_proptax)^2,IF(B73=Input!$I$7+36,Input!$I$6*(1+annual_incr_proptax)^3,IF(B73=Input!$I$7+48,Input!$I$6*(1+annual_incr_proptax)^4,IF(B73=Input!$I$7+60,Input!$I$6*(1+annual_incr_proptax)^5,IF(B73=Input!$I$7+72,Input!$I$6*(1+annual_incr_proptax)^6,IF(B73=Input!$I$7+84,Input!$I$6*(1+annual_incr_proptax)^7,IF(B73=Input!$I$7+96,Input!$I$6*(1+annual_incr_proptax)^8,IF(B73=Input!$I$7+108,Input!$I$6*(1+annual_incr_proptax)^9,IF(B73=Input!$I$7+120,Input!$I$6*(1+annual_incr_proptax)^10,0))))))))))))</f>
        <v>0</v>
      </c>
      <c r="H73" s="139">
        <f>IF(Input!$I$10="",0,IF(B73=Input!$I$10,Input!$I$9,IF(B73=Input!$I$10+12,Input!$I$9*(1+annual_incr_ins),IF(B73=Input!$I$10+24,Input!$I$9*(1+annual_incr_ins)^2,IF(B73=Input!$I$10+36,Input!$I$9*(1+annual_incr_ins)^3,IF(B73=Input!$I$10+48,Input!$I$9*(1+annual_incr_ins)^4,IF(B73=Input!$I$10+60,Input!$I$9*(1+annual_incr_ins)^5,IF(B73=Input!$I$10+72,Input!$I$9*(1+annual_incr_ins)^6,IF(B73=Input!$I$10+84,Input!$I$9*(1+annual_incr_ins)^7,IF(B73=Input!$I$10+96,Input!$I$9*(1+annual_incr_ins)^8,IF(B73=Input!$I$10+108,Input!$I$9*(1+annual_incr_ins)^9,IF(B73=Input!$I$10+120,Input!$I$9*(1+annual_incr_ins)^10,0))))))))))))</f>
        <v>0</v>
      </c>
      <c r="I73" s="139">
        <f>IF(OR(Input!$I$13="",B73&lt;Input!$I$13),0,IF(AND(B73&gt;=Input!$I$13,B73&lt;Input!$I$13+12),Input!$I$12,IF(B73=Input!$I$13+12,Input!$I$12*(1+annual_incr_util),IF(B73=Input!$I$13+24,Input!$I$12*(1+annual_incr_util)^2,IF(B73=Input!$I$13+36,Input!$I$12*(1+annual_incr_util)^3,IF(B73=Input!$I$13+48,Input!$I$12*(1+annual_incr_util)^4,IF(B73=Input!$I$13+60,Input!$I$12*(1+annual_incr_util)^5,IF(B73=Input!$I$13+72,Input!$I$12*(1+annual_incr_util)^6,IF(B73=Input!$I$13+84,Input!$I$12*(1+annual_incr_util)^7,IF(B73=Input!$I$13+96,Input!$I$12*(1+annual_incr_util)^8,IF(B73=Input!$I$13+108,Input!$I$12*(1+annual_incr_util)^9,IF(B73=Input!$I$13+120,Input!$I$12*(1+annual_incr_util)^10,I72))))))))))))</f>
        <v>528.03512812322742</v>
      </c>
      <c r="J73" s="139">
        <f>IF(Input!$I$16="",0,IF(B73=Input!$I$16,Input!$I$15,IF(B73=Input!$I$16+12,Input!$I$15*(1+annual_incr_advtg),IF(B73=Input!$I$16+24,Input!$I$15*(1+annual_incr_advtg)^2,IF(B73=Input!$I$16+36,Input!$I$15*(1+annual_incr_advtg)^3,IF(B73=Input!$I$16+48,Input!$I$15*(1+annual_incr_advtg)^4,IF(B73=Input!$I$16+60,Input!$I$15*(1+annual_incr_advtg)^5,IF(B73=Input!$I$16+72,Input!$I$15*(1+annual_incr_advtg)^6,IF(B73=Input!$I$16+84,Input!$I$15*(1+annual_incr_advtg)^7,IF(B73=Input!$I$16+96,Input!$I$15*(1+annual_incr_advtg)^8,IF(B73=Input!$I$16+108,Input!$I$15*(1+annual_incr_advtg)^9,IF(B73=Input!$I$16+120,Input!$I$15*(1+annual_incr_advtg)^10,0))))))))))))</f>
        <v>0</v>
      </c>
      <c r="K73" s="139">
        <f>IF(Input!$I$19="",0,IF(B73=Input!$I$19,Input!$I$18,IF(B73=Input!$I$19+12,Input!$I$18*(1+annual_incr_other1),IF(B73=Input!$I$19+24,Input!$I$18*(1+annual_incr_other1)^2,IF(B73=Input!$I$19+36,Input!$I$18*(1+annual_incr_other1)^3,IF(B73=Input!$I$19+48,Input!$I$18*(1+annual_incr_other1)^4,IF(B73=Input!$I$19+60,Input!$I$18*(1+annual_incr_other1)^5,IF(B73=Input!$I$19+72,Input!$I$18*(1+annual_incr_other1)^6,IF(B73=Input!$I$19+84,Input!$I$18*(1+annual_incr_other1)^7,IF(B73=Input!$I$19+96,Input!$I$18*(1+annual_incr_other1)^8,IF(B73=Input!$I$19+108,Input!$I$18*(1+annual_incr_other1)^9,IF(B73=Input!$I$19+120,Input!$I$18*(1+annual_incr_other1)^10,0))))))))))))</f>
        <v>0</v>
      </c>
      <c r="L73" s="156">
        <f>IF(OR(Input!$I$22="",B73&lt;Input!$I$22),0,IF(AND(B73&gt;=Input!$I$22,B73&lt;Input!$I$22+12),Input!$I$21,IF(B73=Input!$I$22+12,Input!$I$21*(1+annual_incr_other2),IF(B73=Input!$I$22+24,Input!$I$21*(1+annual_incr_other2)^2,IF(B73=Input!$I$22+36,Input!$I$21*(1+annual_incr_other2)^3,IF(B73=Input!$I$22+48,Input!$I$21*(1+annual_incr_other2)^4,IF(B73=Input!$I$22+60,Input!$I$21*(1+annual_incr_other2)^5,IF(B73=Input!$I$22+72,Input!$I$21*(1+annual_incr_other2)^6,IF(B73=Input!$I$22+84,Input!$I$21*(1+annual_incr_other2)^7,IF(B73=Input!$I$22+96,Input!$I$21*(1+annual_incr_other2)^8,IF(B73=Input!$I$22+108,Input!$I$21*(1+annual_incr_other2)^9,IF(B73=Input!$I$22+120,Input!$I$21*(1+annual_incr_other2)^10,L72))))))))))))</f>
        <v>622.27451708984358</v>
      </c>
      <c r="M73" s="139">
        <f>IF(OR(Input!$I$27="",B73&lt;Input!$I$27),0,E73*mgmt_fee)</f>
        <v>1872.6551999999997</v>
      </c>
      <c r="N73" s="139">
        <f>IF(OR(Input!$I$29="",B73&lt;Input!$I$29),0,E73*repairs_maint)</f>
        <v>2288.8007999999995</v>
      </c>
      <c r="O73" s="149">
        <f>IF(Input!$I$31="",0,IF(OR(B73=Input!$I$31,B73=Input!$I$31+12,B73=Input!$I$31+24,B73=Input!$I$31+36,B73=Input!$I$31+48,B73=Input!$I$31+60,B73=Input!$I$31+72,B73=Input!$I$31+84,B73=Input!$I$31+96,B73=Input!$I$31+108,B73=Input!$I$31+120),E73*other_3,0))</f>
        <v>0</v>
      </c>
      <c r="P73" s="158">
        <f t="shared" si="57"/>
        <v>5311.7656452130705</v>
      </c>
      <c r="Q73" s="159">
        <f t="shared" si="58"/>
        <v>202761.03435478691</v>
      </c>
      <c r="R73" s="160"/>
      <c r="S73" s="161">
        <f>IF(AND(leveraged_property,B73&lt;=amort_period),-IPMT(interest_rate/12,B73,amort_period,loan_amount),0)</f>
        <v>39749.127317793289</v>
      </c>
      <c r="T73" s="149">
        <f t="shared" si="59"/>
        <v>14190.827810171941</v>
      </c>
      <c r="U73" s="149">
        <f>IF(AND(leveraged_property,B73&lt;=amort_period),-PMT(interest_rate/12,amort_period,loan_amount),0)</f>
        <v>53939.95512796523</v>
      </c>
      <c r="V73" s="149">
        <f t="shared" si="60"/>
        <v>8658346.041526543</v>
      </c>
      <c r="W73" s="160"/>
      <c r="X73" s="149">
        <f t="shared" si="61"/>
        <v>110079.28476562499</v>
      </c>
      <c r="Y73" s="162">
        <f t="shared" si="62"/>
        <v>26313352.230375029</v>
      </c>
      <c r="Z73" s="156">
        <f t="shared" si="45"/>
        <v>31777883.014256645</v>
      </c>
      <c r="AA73" s="163">
        <f t="shared" ca="1" si="46"/>
        <v>31777883.014256645</v>
      </c>
      <c r="AB73" s="160"/>
      <c r="AC73" s="164">
        <f>Input!$C$25/12</f>
        <v>26538.461538461535</v>
      </c>
      <c r="AD73" s="139">
        <f t="shared" si="47"/>
        <v>136473.44549853209</v>
      </c>
      <c r="AE73" s="149">
        <f t="shared" si="48"/>
        <v>40942.033649559628</v>
      </c>
      <c r="AF73" s="139">
        <f ca="1">IF(AA73=0,0,AA73-(total_initial_cost-SUM($AC$5:AC73)))</f>
        <v>12909036.860410489</v>
      </c>
      <c r="AG73" s="139">
        <f t="shared" ca="1" si="49"/>
        <v>2581807.3720820979</v>
      </c>
      <c r="AH73" s="149">
        <f t="shared" ca="1" si="63"/>
        <v>29196075.642174546</v>
      </c>
      <c r="AI73" s="103"/>
      <c r="AJ73" s="165">
        <f t="shared" ca="1" si="50"/>
        <v>8496075.6421745457</v>
      </c>
      <c r="AK73" s="165">
        <f t="shared" ca="1" si="40"/>
        <v>9893071.5993721597</v>
      </c>
      <c r="AL73" s="300">
        <f t="shared" ca="1" si="41"/>
        <v>0.88330996422965713</v>
      </c>
      <c r="AM73" s="300">
        <f t="shared" si="42"/>
        <v>0.15117356038390434</v>
      </c>
      <c r="AN73" s="300">
        <f t="shared" si="43"/>
        <v>0.11306392936402471</v>
      </c>
      <c r="AO73" s="301">
        <f>IF(leveraged_property,SUM(Q62:Q73)/SUM(U62:U73),"N/A")</f>
        <v>3.615784953662788</v>
      </c>
      <c r="AP73" s="103"/>
      <c r="AQ73" s="149">
        <f t="shared" si="64"/>
        <v>148821.07922682169</v>
      </c>
      <c r="AR73" s="149">
        <f t="shared" ca="1" si="51"/>
        <v>23268358.051956922</v>
      </c>
      <c r="AS73" s="288">
        <f ca="1">IF(down_payment&lt;=0,"N/A",IRR(($AQ$4:AQ72,AR73),))</f>
        <v>1.7472158486260471E-2</v>
      </c>
      <c r="AT73" s="290">
        <f t="shared" ca="1" si="52"/>
        <v>0.23103503022325378</v>
      </c>
      <c r="AU73" s="288">
        <f ca="1">IF(down_payment&lt;=0,"N/A",MIRR(($AQ$4:AQ72,AR73),finance_rate,reinvestment_rate))</f>
        <v>1.6992298816169038E-2</v>
      </c>
      <c r="AV73" s="290">
        <f t="shared" ca="1" si="53"/>
        <v>0.22408611257608868</v>
      </c>
      <c r="AW73" s="103"/>
      <c r="AX73" s="152" t="str">
        <f t="shared" si="54"/>
        <v/>
      </c>
      <c r="AY73" s="296" t="str">
        <f>IF(AND(B73=$BA$4,OR(down_payment&lt;=0,purchase_date="")),"N/A",IF(B73=$BA$4,XIRR(AX$4:AX73,A$4:A73),""))</f>
        <v/>
      </c>
      <c r="BA73" s="178"/>
    </row>
    <row r="74" spans="1:53">
      <c r="A74" s="137">
        <f t="shared" si="65"/>
        <v>42292</v>
      </c>
      <c r="B74" s="138">
        <f t="shared" si="55"/>
        <v>70</v>
      </c>
      <c r="C74" s="139">
        <f>C73+(C73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74" s="139">
        <f t="shared" si="44"/>
        <v>10951.2</v>
      </c>
      <c r="E74" s="140">
        <f t="shared" si="56"/>
        <v>208072.8</v>
      </c>
      <c r="F74" s="141"/>
      <c r="G74" s="157">
        <f>IF(Input!$I$7="",0,IF(B74=Input!$I$7,Input!$I$6,IF(B74=Input!$I$7+12,Input!$I$6*(1+annual_incr_proptax),IF(B74=Input!$I$7+24,Input!$I$6*(1+annual_incr_proptax)^2,IF(B74=Input!$I$7+36,Input!$I$6*(1+annual_incr_proptax)^3,IF(B74=Input!$I$7+48,Input!$I$6*(1+annual_incr_proptax)^4,IF(B74=Input!$I$7+60,Input!$I$6*(1+annual_incr_proptax)^5,IF(B74=Input!$I$7+72,Input!$I$6*(1+annual_incr_proptax)^6,IF(B74=Input!$I$7+84,Input!$I$6*(1+annual_incr_proptax)^7,IF(B74=Input!$I$7+96,Input!$I$6*(1+annual_incr_proptax)^8,IF(B74=Input!$I$7+108,Input!$I$6*(1+annual_incr_proptax)^9,IF(B74=Input!$I$7+120,Input!$I$6*(1+annual_incr_proptax)^10,0))))))))))))</f>
        <v>0</v>
      </c>
      <c r="H74" s="139">
        <f>IF(Input!$I$10="",0,IF(B74=Input!$I$10,Input!$I$9,IF(B74=Input!$I$10+12,Input!$I$9*(1+annual_incr_ins),IF(B74=Input!$I$10+24,Input!$I$9*(1+annual_incr_ins)^2,IF(B74=Input!$I$10+36,Input!$I$9*(1+annual_incr_ins)^3,IF(B74=Input!$I$10+48,Input!$I$9*(1+annual_incr_ins)^4,IF(B74=Input!$I$10+60,Input!$I$9*(1+annual_incr_ins)^5,IF(B74=Input!$I$10+72,Input!$I$9*(1+annual_incr_ins)^6,IF(B74=Input!$I$10+84,Input!$I$9*(1+annual_incr_ins)^7,IF(B74=Input!$I$10+96,Input!$I$9*(1+annual_incr_ins)^8,IF(B74=Input!$I$10+108,Input!$I$9*(1+annual_incr_ins)^9,IF(B74=Input!$I$10+120,Input!$I$9*(1+annual_incr_ins)^10,0))))))))))))</f>
        <v>0</v>
      </c>
      <c r="I74" s="139">
        <f>IF(OR(Input!$I$13="",B74&lt;Input!$I$13),0,IF(AND(B74&gt;=Input!$I$13,B74&lt;Input!$I$13+12),Input!$I$12,IF(B74=Input!$I$13+12,Input!$I$12*(1+annual_incr_util),IF(B74=Input!$I$13+24,Input!$I$12*(1+annual_incr_util)^2,IF(B74=Input!$I$13+36,Input!$I$12*(1+annual_incr_util)^3,IF(B74=Input!$I$13+48,Input!$I$12*(1+annual_incr_util)^4,IF(B74=Input!$I$13+60,Input!$I$12*(1+annual_incr_util)^5,IF(B74=Input!$I$13+72,Input!$I$12*(1+annual_incr_util)^6,IF(B74=Input!$I$13+84,Input!$I$12*(1+annual_incr_util)^7,IF(B74=Input!$I$13+96,Input!$I$12*(1+annual_incr_util)^8,IF(B74=Input!$I$13+108,Input!$I$12*(1+annual_incr_util)^9,IF(B74=Input!$I$13+120,Input!$I$12*(1+annual_incr_util)^10,I73))))))))))))</f>
        <v>528.03512812322742</v>
      </c>
      <c r="J74" s="139">
        <f>IF(Input!$I$16="",0,IF(B74=Input!$I$16,Input!$I$15,IF(B74=Input!$I$16+12,Input!$I$15*(1+annual_incr_advtg),IF(B74=Input!$I$16+24,Input!$I$15*(1+annual_incr_advtg)^2,IF(B74=Input!$I$16+36,Input!$I$15*(1+annual_incr_advtg)^3,IF(B74=Input!$I$16+48,Input!$I$15*(1+annual_incr_advtg)^4,IF(B74=Input!$I$16+60,Input!$I$15*(1+annual_incr_advtg)^5,IF(B74=Input!$I$16+72,Input!$I$15*(1+annual_incr_advtg)^6,IF(B74=Input!$I$16+84,Input!$I$15*(1+annual_incr_advtg)^7,IF(B74=Input!$I$16+96,Input!$I$15*(1+annual_incr_advtg)^8,IF(B74=Input!$I$16+108,Input!$I$15*(1+annual_incr_advtg)^9,IF(B74=Input!$I$16+120,Input!$I$15*(1+annual_incr_advtg)^10,0))))))))))))</f>
        <v>0</v>
      </c>
      <c r="K74" s="139">
        <f>IF(Input!$I$19="",0,IF(B74=Input!$I$19,Input!$I$18,IF(B74=Input!$I$19+12,Input!$I$18*(1+annual_incr_other1),IF(B74=Input!$I$19+24,Input!$I$18*(1+annual_incr_other1)^2,IF(B74=Input!$I$19+36,Input!$I$18*(1+annual_incr_other1)^3,IF(B74=Input!$I$19+48,Input!$I$18*(1+annual_incr_other1)^4,IF(B74=Input!$I$19+60,Input!$I$18*(1+annual_incr_other1)^5,IF(B74=Input!$I$19+72,Input!$I$18*(1+annual_incr_other1)^6,IF(B74=Input!$I$19+84,Input!$I$18*(1+annual_incr_other1)^7,IF(B74=Input!$I$19+96,Input!$I$18*(1+annual_incr_other1)^8,IF(B74=Input!$I$19+108,Input!$I$18*(1+annual_incr_other1)^9,IF(B74=Input!$I$19+120,Input!$I$18*(1+annual_incr_other1)^10,0))))))))))))</f>
        <v>0</v>
      </c>
      <c r="L74" s="156">
        <f>IF(OR(Input!$I$22="",B74&lt;Input!$I$22),0,IF(AND(B74&gt;=Input!$I$22,B74&lt;Input!$I$22+12),Input!$I$21,IF(B74=Input!$I$22+12,Input!$I$21*(1+annual_incr_other2),IF(B74=Input!$I$22+24,Input!$I$21*(1+annual_incr_other2)^2,IF(B74=Input!$I$22+36,Input!$I$21*(1+annual_incr_other2)^3,IF(B74=Input!$I$22+48,Input!$I$21*(1+annual_incr_other2)^4,IF(B74=Input!$I$22+60,Input!$I$21*(1+annual_incr_other2)^5,IF(B74=Input!$I$22+72,Input!$I$21*(1+annual_incr_other2)^6,IF(B74=Input!$I$22+84,Input!$I$21*(1+annual_incr_other2)^7,IF(B74=Input!$I$22+96,Input!$I$21*(1+annual_incr_other2)^8,IF(B74=Input!$I$22+108,Input!$I$21*(1+annual_incr_other2)^9,IF(B74=Input!$I$22+120,Input!$I$21*(1+annual_incr_other2)^10,L73))))))))))))</f>
        <v>622.27451708984358</v>
      </c>
      <c r="M74" s="139">
        <f>IF(OR(Input!$I$27="",B74&lt;Input!$I$27),0,E74*mgmt_fee)</f>
        <v>1872.6551999999997</v>
      </c>
      <c r="N74" s="139">
        <f>IF(OR(Input!$I$29="",B74&lt;Input!$I$29),0,E74*repairs_maint)</f>
        <v>2288.8007999999995</v>
      </c>
      <c r="O74" s="149">
        <f>IF(Input!$I$31="",0,IF(OR(B74=Input!$I$31,B74=Input!$I$31+12,B74=Input!$I$31+24,B74=Input!$I$31+36,B74=Input!$I$31+48,B74=Input!$I$31+60,B74=Input!$I$31+72,B74=Input!$I$31+84,B74=Input!$I$31+96,B74=Input!$I$31+108,B74=Input!$I$31+120),E74*other_3,0))</f>
        <v>0</v>
      </c>
      <c r="P74" s="158">
        <f t="shared" si="57"/>
        <v>5311.7656452130705</v>
      </c>
      <c r="Q74" s="159">
        <f t="shared" si="58"/>
        <v>202761.03435478691</v>
      </c>
      <c r="R74" s="160"/>
      <c r="S74" s="161">
        <f>IF(AND(leveraged_property,B74&lt;=amort_period),-IPMT(interest_rate/12,B74,amort_period,loan_amount),0)</f>
        <v>39684.086023663323</v>
      </c>
      <c r="T74" s="149">
        <f t="shared" si="59"/>
        <v>14255.869104301906</v>
      </c>
      <c r="U74" s="149">
        <f>IF(AND(leveraged_property,B74&lt;=amort_period),-PMT(interest_rate/12,amort_period,loan_amount),0)</f>
        <v>53939.95512796523</v>
      </c>
      <c r="V74" s="149">
        <f t="shared" si="60"/>
        <v>8644090.1724222414</v>
      </c>
      <c r="W74" s="160"/>
      <c r="X74" s="149">
        <f t="shared" si="61"/>
        <v>110079.28476562499</v>
      </c>
      <c r="Y74" s="162">
        <f t="shared" si="62"/>
        <v>26419028.34375003</v>
      </c>
      <c r="Z74" s="156">
        <f t="shared" si="45"/>
        <v>32193469.539961547</v>
      </c>
      <c r="AA74" s="163">
        <f t="shared" ca="1" si="46"/>
        <v>32193469.539961547</v>
      </c>
      <c r="AB74" s="160"/>
      <c r="AC74" s="164">
        <f>Input!$C$25/12</f>
        <v>26538.461538461535</v>
      </c>
      <c r="AD74" s="139">
        <f t="shared" si="47"/>
        <v>136538.48679266206</v>
      </c>
      <c r="AE74" s="149">
        <f t="shared" si="48"/>
        <v>40961.546037798616</v>
      </c>
      <c r="AF74" s="139">
        <f ca="1">IF(AA74=0,0,AA74-(total_initial_cost-SUM($AC$5:AC74)))</f>
        <v>13351161.847653851</v>
      </c>
      <c r="AG74" s="139">
        <f t="shared" ca="1" si="49"/>
        <v>2670232.3695307705</v>
      </c>
      <c r="AH74" s="149">
        <f t="shared" ca="1" si="63"/>
        <v>29523237.170430776</v>
      </c>
      <c r="AI74" s="103"/>
      <c r="AJ74" s="165">
        <f t="shared" ca="1" si="50"/>
        <v>8823237.1704307757</v>
      </c>
      <c r="AK74" s="165">
        <f t="shared" ca="1" si="40"/>
        <v>10220743.712342313</v>
      </c>
      <c r="AL74" s="300">
        <f t="shared" ca="1" si="41"/>
        <v>0.91256640288770652</v>
      </c>
      <c r="AM74" s="300">
        <f t="shared" si="42"/>
        <v>0.15117072124214581</v>
      </c>
      <c r="AN74" s="300">
        <f t="shared" si="43"/>
        <v>0.11306239321002975</v>
      </c>
      <c r="AO74" s="301">
        <f>IF(leveraged_property,SUM(Q63:Q74)/SUM(U63:U74),"N/A")</f>
        <v>3.6157358274513363</v>
      </c>
      <c r="AP74" s="103"/>
      <c r="AQ74" s="149">
        <f t="shared" si="64"/>
        <v>148821.07922682169</v>
      </c>
      <c r="AR74" s="149">
        <f t="shared" ca="1" si="51"/>
        <v>23698200.446766127</v>
      </c>
      <c r="AS74" s="288">
        <f ca="1">IF(down_payment&lt;=0,"N/A",IRR(($AQ$4:AQ73,AR74),))</f>
        <v>1.755668123771674E-2</v>
      </c>
      <c r="AT74" s="290">
        <f t="shared" ca="1" si="52"/>
        <v>0.23226275546420228</v>
      </c>
      <c r="AU74" s="288">
        <f ca="1">IF(down_payment&lt;=0,"N/A",MIRR(($AQ$4:AQ73,AR74),finance_rate,reinvestment_rate))</f>
        <v>1.7056170854460317E-2</v>
      </c>
      <c r="AV74" s="290">
        <f t="shared" ca="1" si="53"/>
        <v>0.22500897369828765</v>
      </c>
      <c r="AW74" s="103"/>
      <c r="AX74" s="152" t="str">
        <f t="shared" si="54"/>
        <v/>
      </c>
      <c r="AY74" s="296" t="str">
        <f>IF(AND(B74=$BA$4,OR(down_payment&lt;=0,purchase_date="")),"N/A",IF(B74=$BA$4,XIRR(AX$4:AX74,A$4:A74),""))</f>
        <v/>
      </c>
      <c r="BA74" s="178"/>
    </row>
    <row r="75" spans="1:53">
      <c r="A75" s="137">
        <f t="shared" si="65"/>
        <v>42323</v>
      </c>
      <c r="B75" s="138">
        <f t="shared" si="55"/>
        <v>71</v>
      </c>
      <c r="C75" s="139">
        <f>C74+(C74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75" s="139">
        <f t="shared" si="44"/>
        <v>10951.2</v>
      </c>
      <c r="E75" s="140">
        <f t="shared" si="56"/>
        <v>208072.8</v>
      </c>
      <c r="F75" s="141"/>
      <c r="G75" s="157">
        <f>IF(Input!$I$7="",0,IF(B75=Input!$I$7,Input!$I$6,IF(B75=Input!$I$7+12,Input!$I$6*(1+annual_incr_proptax),IF(B75=Input!$I$7+24,Input!$I$6*(1+annual_incr_proptax)^2,IF(B75=Input!$I$7+36,Input!$I$6*(1+annual_incr_proptax)^3,IF(B75=Input!$I$7+48,Input!$I$6*(1+annual_incr_proptax)^4,IF(B75=Input!$I$7+60,Input!$I$6*(1+annual_incr_proptax)^5,IF(B75=Input!$I$7+72,Input!$I$6*(1+annual_incr_proptax)^6,IF(B75=Input!$I$7+84,Input!$I$6*(1+annual_incr_proptax)^7,IF(B75=Input!$I$7+96,Input!$I$6*(1+annual_incr_proptax)^8,IF(B75=Input!$I$7+108,Input!$I$6*(1+annual_incr_proptax)^9,IF(B75=Input!$I$7+120,Input!$I$6*(1+annual_incr_proptax)^10,0))))))))))))</f>
        <v>0</v>
      </c>
      <c r="H75" s="139">
        <f>IF(Input!$I$10="",0,IF(B75=Input!$I$10,Input!$I$9,IF(B75=Input!$I$10+12,Input!$I$9*(1+annual_incr_ins),IF(B75=Input!$I$10+24,Input!$I$9*(1+annual_incr_ins)^2,IF(B75=Input!$I$10+36,Input!$I$9*(1+annual_incr_ins)^3,IF(B75=Input!$I$10+48,Input!$I$9*(1+annual_incr_ins)^4,IF(B75=Input!$I$10+60,Input!$I$9*(1+annual_incr_ins)^5,IF(B75=Input!$I$10+72,Input!$I$9*(1+annual_incr_ins)^6,IF(B75=Input!$I$10+84,Input!$I$9*(1+annual_incr_ins)^7,IF(B75=Input!$I$10+96,Input!$I$9*(1+annual_incr_ins)^8,IF(B75=Input!$I$10+108,Input!$I$9*(1+annual_incr_ins)^9,IF(B75=Input!$I$10+120,Input!$I$9*(1+annual_incr_ins)^10,0))))))))))))</f>
        <v>0</v>
      </c>
      <c r="I75" s="139">
        <f>IF(OR(Input!$I$13="",B75&lt;Input!$I$13),0,IF(AND(B75&gt;=Input!$I$13,B75&lt;Input!$I$13+12),Input!$I$12,IF(B75=Input!$I$13+12,Input!$I$12*(1+annual_incr_util),IF(B75=Input!$I$13+24,Input!$I$12*(1+annual_incr_util)^2,IF(B75=Input!$I$13+36,Input!$I$12*(1+annual_incr_util)^3,IF(B75=Input!$I$13+48,Input!$I$12*(1+annual_incr_util)^4,IF(B75=Input!$I$13+60,Input!$I$12*(1+annual_incr_util)^5,IF(B75=Input!$I$13+72,Input!$I$12*(1+annual_incr_util)^6,IF(B75=Input!$I$13+84,Input!$I$12*(1+annual_incr_util)^7,IF(B75=Input!$I$13+96,Input!$I$12*(1+annual_incr_util)^8,IF(B75=Input!$I$13+108,Input!$I$12*(1+annual_incr_util)^9,IF(B75=Input!$I$13+120,Input!$I$12*(1+annual_incr_util)^10,I74))))))))))))</f>
        <v>528.03512812322742</v>
      </c>
      <c r="J75" s="139">
        <f>IF(Input!$I$16="",0,IF(B75=Input!$I$16,Input!$I$15,IF(B75=Input!$I$16+12,Input!$I$15*(1+annual_incr_advtg),IF(B75=Input!$I$16+24,Input!$I$15*(1+annual_incr_advtg)^2,IF(B75=Input!$I$16+36,Input!$I$15*(1+annual_incr_advtg)^3,IF(B75=Input!$I$16+48,Input!$I$15*(1+annual_incr_advtg)^4,IF(B75=Input!$I$16+60,Input!$I$15*(1+annual_incr_advtg)^5,IF(B75=Input!$I$16+72,Input!$I$15*(1+annual_incr_advtg)^6,IF(B75=Input!$I$16+84,Input!$I$15*(1+annual_incr_advtg)^7,IF(B75=Input!$I$16+96,Input!$I$15*(1+annual_incr_advtg)^8,IF(B75=Input!$I$16+108,Input!$I$15*(1+annual_incr_advtg)^9,IF(B75=Input!$I$16+120,Input!$I$15*(1+annual_incr_advtg)^10,0))))))))))))</f>
        <v>0</v>
      </c>
      <c r="K75" s="139">
        <f>IF(Input!$I$19="",0,IF(B75=Input!$I$19,Input!$I$18,IF(B75=Input!$I$19+12,Input!$I$18*(1+annual_incr_other1),IF(B75=Input!$I$19+24,Input!$I$18*(1+annual_incr_other1)^2,IF(B75=Input!$I$19+36,Input!$I$18*(1+annual_incr_other1)^3,IF(B75=Input!$I$19+48,Input!$I$18*(1+annual_incr_other1)^4,IF(B75=Input!$I$19+60,Input!$I$18*(1+annual_incr_other1)^5,IF(B75=Input!$I$19+72,Input!$I$18*(1+annual_incr_other1)^6,IF(B75=Input!$I$19+84,Input!$I$18*(1+annual_incr_other1)^7,IF(B75=Input!$I$19+96,Input!$I$18*(1+annual_incr_other1)^8,IF(B75=Input!$I$19+108,Input!$I$18*(1+annual_incr_other1)^9,IF(B75=Input!$I$19+120,Input!$I$18*(1+annual_incr_other1)^10,0))))))))))))</f>
        <v>0</v>
      </c>
      <c r="L75" s="156">
        <f>IF(OR(Input!$I$22="",B75&lt;Input!$I$22),0,IF(AND(B75&gt;=Input!$I$22,B75&lt;Input!$I$22+12),Input!$I$21,IF(B75=Input!$I$22+12,Input!$I$21*(1+annual_incr_other2),IF(B75=Input!$I$22+24,Input!$I$21*(1+annual_incr_other2)^2,IF(B75=Input!$I$22+36,Input!$I$21*(1+annual_incr_other2)^3,IF(B75=Input!$I$22+48,Input!$I$21*(1+annual_incr_other2)^4,IF(B75=Input!$I$22+60,Input!$I$21*(1+annual_incr_other2)^5,IF(B75=Input!$I$22+72,Input!$I$21*(1+annual_incr_other2)^6,IF(B75=Input!$I$22+84,Input!$I$21*(1+annual_incr_other2)^7,IF(B75=Input!$I$22+96,Input!$I$21*(1+annual_incr_other2)^8,IF(B75=Input!$I$22+108,Input!$I$21*(1+annual_incr_other2)^9,IF(B75=Input!$I$22+120,Input!$I$21*(1+annual_incr_other2)^10,L74))))))))))))</f>
        <v>622.27451708984358</v>
      </c>
      <c r="M75" s="139">
        <f>IF(OR(Input!$I$27="",B75&lt;Input!$I$27),0,E75*mgmt_fee)</f>
        <v>1872.6551999999997</v>
      </c>
      <c r="N75" s="139">
        <f>IF(OR(Input!$I$29="",B75&lt;Input!$I$29),0,E75*repairs_maint)</f>
        <v>2288.8007999999995</v>
      </c>
      <c r="O75" s="149">
        <f>IF(Input!$I$31="",0,IF(OR(B75=Input!$I$31,B75=Input!$I$31+12,B75=Input!$I$31+24,B75=Input!$I$31+36,B75=Input!$I$31+48,B75=Input!$I$31+60,B75=Input!$I$31+72,B75=Input!$I$31+84,B75=Input!$I$31+96,B75=Input!$I$31+108,B75=Input!$I$31+120),E75*other_3,0))</f>
        <v>0</v>
      </c>
      <c r="P75" s="158">
        <f t="shared" si="57"/>
        <v>5311.7656452130705</v>
      </c>
      <c r="Q75" s="159">
        <f t="shared" si="58"/>
        <v>202761.03435478691</v>
      </c>
      <c r="R75" s="160"/>
      <c r="S75" s="161">
        <f>IF(AND(leveraged_property,B75&lt;=amort_period),-IPMT(interest_rate/12,B75,amort_period,loan_amount),0)</f>
        <v>39618.746623601939</v>
      </c>
      <c r="T75" s="149">
        <f t="shared" si="59"/>
        <v>14321.208504363291</v>
      </c>
      <c r="U75" s="149">
        <f>IF(AND(leveraged_property,B75&lt;=amort_period),-PMT(interest_rate/12,amort_period,loan_amount),0)</f>
        <v>53939.95512796523</v>
      </c>
      <c r="V75" s="149">
        <f t="shared" si="60"/>
        <v>8629768.9639178775</v>
      </c>
      <c r="W75" s="160"/>
      <c r="X75" s="149">
        <f t="shared" si="61"/>
        <v>110079.28476562499</v>
      </c>
      <c r="Y75" s="162">
        <f t="shared" si="62"/>
        <v>26524704.45712503</v>
      </c>
      <c r="Z75" s="156">
        <f t="shared" si="45"/>
        <v>32609056.065666452</v>
      </c>
      <c r="AA75" s="163">
        <f t="shared" ca="1" si="46"/>
        <v>32609056.065666452</v>
      </c>
      <c r="AB75" s="160"/>
      <c r="AC75" s="164">
        <f>Input!$C$25/12</f>
        <v>26538.461538461535</v>
      </c>
      <c r="AD75" s="139">
        <f t="shared" si="47"/>
        <v>136603.82619272344</v>
      </c>
      <c r="AE75" s="149">
        <f t="shared" si="48"/>
        <v>40981.147857817028</v>
      </c>
      <c r="AF75" s="139">
        <f ca="1">IF(AA75=0,0,AA75-(total_initial_cost-SUM($AC$5:AC75)))</f>
        <v>13793286.83489722</v>
      </c>
      <c r="AG75" s="139">
        <f t="shared" ca="1" si="49"/>
        <v>2758657.3669794444</v>
      </c>
      <c r="AH75" s="149">
        <f t="shared" ca="1" si="63"/>
        <v>29850398.69868701</v>
      </c>
      <c r="AI75" s="103"/>
      <c r="AJ75" s="165">
        <f t="shared" ca="1" si="50"/>
        <v>9150398.6986870095</v>
      </c>
      <c r="AK75" s="165">
        <f t="shared" ca="1" si="40"/>
        <v>10548418.267512234</v>
      </c>
      <c r="AL75" s="300">
        <f t="shared" ca="1" si="41"/>
        <v>0.94182305959930657</v>
      </c>
      <c r="AM75" s="300">
        <f t="shared" si="42"/>
        <v>0.15116788210038729</v>
      </c>
      <c r="AN75" s="300">
        <f t="shared" si="43"/>
        <v>0.1130608570560348</v>
      </c>
      <c r="AO75" s="301">
        <f>IF(leveraged_property,SUM(Q64:Q75)/SUM(U64:U75),"N/A")</f>
        <v>3.615686701239885</v>
      </c>
      <c r="AP75" s="103"/>
      <c r="AQ75" s="149">
        <f t="shared" si="64"/>
        <v>148821.07922682169</v>
      </c>
      <c r="AR75" s="149">
        <f t="shared" ca="1" si="51"/>
        <v>24128108.180975396</v>
      </c>
      <c r="AS75" s="288">
        <f ca="1">IF(down_payment&lt;=0,"N/A",IRR(($AQ$4:AQ74,AR75),))</f>
        <v>1.7633930007921548E-2</v>
      </c>
      <c r="AT75" s="290">
        <f t="shared" ca="1" si="52"/>
        <v>0.23338580490190863</v>
      </c>
      <c r="AU75" s="288">
        <f ca="1">IF(down_payment&lt;=0,"N/A",MIRR(($AQ$4:AQ74,AR75),finance_rate,reinvestment_rate))</f>
        <v>1.7113892264768005E-2</v>
      </c>
      <c r="AV75" s="290">
        <f t="shared" ca="1" si="53"/>
        <v>0.22584351546605363</v>
      </c>
      <c r="AW75" s="103"/>
      <c r="AX75" s="152" t="str">
        <f t="shared" si="54"/>
        <v/>
      </c>
      <c r="AY75" s="296" t="str">
        <f>IF(AND(B75=$BA$4,OR(down_payment&lt;=0,purchase_date="")),"N/A",IF(B75=$BA$4,XIRR(AX$4:AX75,A$4:A75),""))</f>
        <v/>
      </c>
      <c r="BA75" s="178"/>
    </row>
    <row r="76" spans="1:53">
      <c r="A76" s="181">
        <f t="shared" si="65"/>
        <v>42353</v>
      </c>
      <c r="B76" s="182">
        <f t="shared" si="55"/>
        <v>72</v>
      </c>
      <c r="C76" s="183">
        <f>C75+(C75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219024</v>
      </c>
      <c r="D76" s="183">
        <f t="shared" si="44"/>
        <v>10951.2</v>
      </c>
      <c r="E76" s="184">
        <f t="shared" si="56"/>
        <v>208072.8</v>
      </c>
      <c r="F76" s="141"/>
      <c r="G76" s="185">
        <f>IF(Input!$I$7="",0,IF(B76=Input!$I$7,Input!$I$6,IF(B76=Input!$I$7+12,Input!$I$6*(1+annual_incr_proptax),IF(B76=Input!$I$7+24,Input!$I$6*(1+annual_incr_proptax)^2,IF(B76=Input!$I$7+36,Input!$I$6*(1+annual_incr_proptax)^3,IF(B76=Input!$I$7+48,Input!$I$6*(1+annual_incr_proptax)^4,IF(B76=Input!$I$7+60,Input!$I$6*(1+annual_incr_proptax)^5,IF(B76=Input!$I$7+72,Input!$I$6*(1+annual_incr_proptax)^6,IF(B76=Input!$I$7+84,Input!$I$6*(1+annual_incr_proptax)^7,IF(B76=Input!$I$7+96,Input!$I$6*(1+annual_incr_proptax)^8,IF(B76=Input!$I$7+108,Input!$I$6*(1+annual_incr_proptax)^9,IF(B76=Input!$I$7+120,Input!$I$6*(1+annual_incr_proptax)^10,0))))))))))))</f>
        <v>0</v>
      </c>
      <c r="H76" s="183">
        <f>IF(Input!$I$10="",0,IF(B76=Input!$I$10,Input!$I$9,IF(B76=Input!$I$10+12,Input!$I$9*(1+annual_incr_ins),IF(B76=Input!$I$10+24,Input!$I$9*(1+annual_incr_ins)^2,IF(B76=Input!$I$10+36,Input!$I$9*(1+annual_incr_ins)^3,IF(B76=Input!$I$10+48,Input!$I$9*(1+annual_incr_ins)^4,IF(B76=Input!$I$10+60,Input!$I$9*(1+annual_incr_ins)^5,IF(B76=Input!$I$10+72,Input!$I$9*(1+annual_incr_ins)^6,IF(B76=Input!$I$10+84,Input!$I$9*(1+annual_incr_ins)^7,IF(B76=Input!$I$10+96,Input!$I$9*(1+annual_incr_ins)^8,IF(B76=Input!$I$10+108,Input!$I$9*(1+annual_incr_ins)^9,IF(B76=Input!$I$10+120,Input!$I$9*(1+annual_incr_ins)^10,0))))))))))))</f>
        <v>0</v>
      </c>
      <c r="I76" s="183">
        <f>IF(OR(Input!$I$13="",B76&lt;Input!$I$13),0,IF(AND(B76&gt;=Input!$I$13,B76&lt;Input!$I$13+12),Input!$I$12,IF(B76=Input!$I$13+12,Input!$I$12*(1+annual_incr_util),IF(B76=Input!$I$13+24,Input!$I$12*(1+annual_incr_util)^2,IF(B76=Input!$I$13+36,Input!$I$12*(1+annual_incr_util)^3,IF(B76=Input!$I$13+48,Input!$I$12*(1+annual_incr_util)^4,IF(B76=Input!$I$13+60,Input!$I$12*(1+annual_incr_util)^5,IF(B76=Input!$I$13+72,Input!$I$12*(1+annual_incr_util)^6,IF(B76=Input!$I$13+84,Input!$I$12*(1+annual_incr_util)^7,IF(B76=Input!$I$13+96,Input!$I$12*(1+annual_incr_util)^8,IF(B76=Input!$I$13+108,Input!$I$12*(1+annual_incr_util)^9,IF(B76=Input!$I$13+120,Input!$I$12*(1+annual_incr_util)^10,I75))))))))))))</f>
        <v>528.03512812322742</v>
      </c>
      <c r="J76" s="183">
        <f>IF(Input!$I$16="",0,IF(B76=Input!$I$16,Input!$I$15,IF(B76=Input!$I$16+12,Input!$I$15*(1+annual_incr_advtg),IF(B76=Input!$I$16+24,Input!$I$15*(1+annual_incr_advtg)^2,IF(B76=Input!$I$16+36,Input!$I$15*(1+annual_incr_advtg)^3,IF(B76=Input!$I$16+48,Input!$I$15*(1+annual_incr_advtg)^4,IF(B76=Input!$I$16+60,Input!$I$15*(1+annual_incr_advtg)^5,IF(B76=Input!$I$16+72,Input!$I$15*(1+annual_incr_advtg)^6,IF(B76=Input!$I$16+84,Input!$I$15*(1+annual_incr_advtg)^7,IF(B76=Input!$I$16+96,Input!$I$15*(1+annual_incr_advtg)^8,IF(B76=Input!$I$16+108,Input!$I$15*(1+annual_incr_advtg)^9,IF(B76=Input!$I$16+120,Input!$I$15*(1+annual_incr_advtg)^10,0))))))))))))</f>
        <v>0</v>
      </c>
      <c r="K76" s="183">
        <f>IF(Input!$I$19="",0,IF(B76=Input!$I$19,Input!$I$18,IF(B76=Input!$I$19+12,Input!$I$18*(1+annual_incr_other1),IF(B76=Input!$I$19+24,Input!$I$18*(1+annual_incr_other1)^2,IF(B76=Input!$I$19+36,Input!$I$18*(1+annual_incr_other1)^3,IF(B76=Input!$I$19+48,Input!$I$18*(1+annual_incr_other1)^4,IF(B76=Input!$I$19+60,Input!$I$18*(1+annual_incr_other1)^5,IF(B76=Input!$I$19+72,Input!$I$18*(1+annual_incr_other1)^6,IF(B76=Input!$I$19+84,Input!$I$18*(1+annual_incr_other1)^7,IF(B76=Input!$I$19+96,Input!$I$18*(1+annual_incr_other1)^8,IF(B76=Input!$I$19+108,Input!$I$18*(1+annual_incr_other1)^9,IF(B76=Input!$I$19+120,Input!$I$18*(1+annual_incr_other1)^10,0))))))))))))</f>
        <v>0</v>
      </c>
      <c r="L76" s="183">
        <f>IF(OR(Input!$I$22="",B76&lt;Input!$I$22),0,IF(AND(B76&gt;=Input!$I$22,B76&lt;Input!$I$22+12),Input!$I$21,IF(B76=Input!$I$22+12,Input!$I$21*(1+annual_incr_other2),IF(B76=Input!$I$22+24,Input!$I$21*(1+annual_incr_other2)^2,IF(B76=Input!$I$22+36,Input!$I$21*(1+annual_incr_other2)^3,IF(B76=Input!$I$22+48,Input!$I$21*(1+annual_incr_other2)^4,IF(B76=Input!$I$22+60,Input!$I$21*(1+annual_incr_other2)^5,IF(B76=Input!$I$22+72,Input!$I$21*(1+annual_incr_other2)^6,IF(B76=Input!$I$22+84,Input!$I$21*(1+annual_incr_other2)^7,IF(B76=Input!$I$22+96,Input!$I$21*(1+annual_incr_other2)^8,IF(B76=Input!$I$22+108,Input!$I$21*(1+annual_incr_other2)^9,IF(B76=Input!$I$22+120,Input!$I$21*(1+annual_incr_other2)^10,L75))))))))))))</f>
        <v>622.27451708984358</v>
      </c>
      <c r="M76" s="183">
        <f>IF(OR(Input!$I$27="",B76&lt;Input!$I$27),0,E76*mgmt_fee)</f>
        <v>1872.6551999999997</v>
      </c>
      <c r="N76" s="183">
        <f>IF(OR(Input!$I$29="",B76&lt;Input!$I$29),0,E76*repairs_maint)</f>
        <v>2288.8007999999995</v>
      </c>
      <c r="O76" s="186">
        <f>IF(Input!$I$31="",0,IF(OR(B76=Input!$I$31,B76=Input!$I$31+12,B76=Input!$I$31+24,B76=Input!$I$31+36,B76=Input!$I$31+48,B76=Input!$I$31+60,B76=Input!$I$31+72,B76=Input!$I$31+84,B76=Input!$I$31+96,B76=Input!$I$31+108,B76=Input!$I$31+120),E76*other_3,0))</f>
        <v>0</v>
      </c>
      <c r="P76" s="187">
        <f t="shared" si="57"/>
        <v>5311.7656452130705</v>
      </c>
      <c r="Q76" s="188">
        <f t="shared" si="58"/>
        <v>202761.03435478691</v>
      </c>
      <c r="R76" s="160"/>
      <c r="S76" s="189">
        <f>IF(AND(leveraged_property,B76&lt;=amort_period),-IPMT(interest_rate/12,B76,amort_period,loan_amount),0)</f>
        <v>39553.10775129027</v>
      </c>
      <c r="T76" s="186">
        <f t="shared" si="59"/>
        <v>14386.847376674959</v>
      </c>
      <c r="U76" s="186">
        <f>IF(AND(leveraged_property,B76&lt;=amort_period),-PMT(interest_rate/12,amort_period,loan_amount),0)</f>
        <v>53939.95512796523</v>
      </c>
      <c r="V76" s="186">
        <f t="shared" si="60"/>
        <v>8615382.1165412031</v>
      </c>
      <c r="W76" s="160"/>
      <c r="X76" s="186">
        <f t="shared" si="61"/>
        <v>110079.28476562499</v>
      </c>
      <c r="Y76" s="186">
        <f t="shared" si="62"/>
        <v>26630380.570500031</v>
      </c>
      <c r="Z76" s="183">
        <f t="shared" si="45"/>
        <v>33024642.591371361</v>
      </c>
      <c r="AA76" s="188">
        <f t="shared" ca="1" si="46"/>
        <v>33024642.591371361</v>
      </c>
      <c r="AB76" s="160"/>
      <c r="AC76" s="190">
        <f>Input!$C$25/12</f>
        <v>26538.461538461535</v>
      </c>
      <c r="AD76" s="183">
        <f t="shared" si="47"/>
        <v>136669.46506503513</v>
      </c>
      <c r="AE76" s="186">
        <f t="shared" si="48"/>
        <v>41000.839519510533</v>
      </c>
      <c r="AF76" s="183">
        <f ca="1">IF(AA76=0,0,AA76-(total_initial_cost-SUM($AC$5:AC76)))</f>
        <v>14235411.822140589</v>
      </c>
      <c r="AG76" s="183">
        <f t="shared" ca="1" si="49"/>
        <v>2847082.3644281179</v>
      </c>
      <c r="AH76" s="186">
        <f t="shared" ca="1" si="63"/>
        <v>30177560.226943243</v>
      </c>
      <c r="AI76" s="103"/>
      <c r="AJ76" s="191">
        <f t="shared" ca="1" si="50"/>
        <v>9477560.2269432433</v>
      </c>
      <c r="AK76" s="191">
        <f t="shared" ca="1" si="40"/>
        <v>10876095.276075339</v>
      </c>
      <c r="AL76" s="298">
        <f t="shared" ca="1" si="41"/>
        <v>0.9710799353638695</v>
      </c>
      <c r="AM76" s="298">
        <f t="shared" si="42"/>
        <v>0.15116504295862873</v>
      </c>
      <c r="AN76" s="298">
        <f t="shared" si="43"/>
        <v>0.11305932090203984</v>
      </c>
      <c r="AO76" s="299">
        <f>IF(leveraged_property,SUM(Q65:Q76)/SUM(U65:U76),"N/A")</f>
        <v>3.6156375750284333</v>
      </c>
      <c r="AP76" s="103"/>
      <c r="AQ76" s="186">
        <f t="shared" si="64"/>
        <v>148821.07922682169</v>
      </c>
      <c r="AR76" s="186">
        <f t="shared" ca="1" si="51"/>
        <v>24558081.55405698</v>
      </c>
      <c r="AS76" s="289">
        <f ca="1">IF(down_payment&lt;=0,"N/A",IRR(($AQ$4:AQ75,AR76),))</f>
        <v>1.7704384214923558E-2</v>
      </c>
      <c r="AT76" s="291">
        <f t="shared" ca="1" si="52"/>
        <v>0.23441089236694235</v>
      </c>
      <c r="AU76" s="289">
        <f ca="1">IF(down_payment&lt;=0,"N/A",MIRR(($AQ$4:AQ75,AR76),finance_rate,reinvestment_rate))</f>
        <v>1.716588263520058E-2</v>
      </c>
      <c r="AV76" s="291">
        <f t="shared" ca="1" si="53"/>
        <v>0.22659564337649174</v>
      </c>
      <c r="AW76" s="103"/>
      <c r="AX76" s="192" t="str">
        <f t="shared" si="54"/>
        <v/>
      </c>
      <c r="AY76" s="296" t="str">
        <f>IF(AND(B76=$BA$4,OR(down_payment&lt;=0,purchase_date="")),"N/A",IF(B76=$BA$4,XIRR(AX$4:AX76,A$4:A76),""))</f>
        <v/>
      </c>
      <c r="BA76" s="178"/>
    </row>
    <row r="77" spans="1:53">
      <c r="A77" s="137">
        <f t="shared" si="65"/>
        <v>42384</v>
      </c>
      <c r="B77" s="138">
        <f t="shared" si="55"/>
        <v>73</v>
      </c>
      <c r="C77" s="139">
        <f>C76+(C76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77" s="139">
        <f t="shared" si="44"/>
        <v>12812.904000000002</v>
      </c>
      <c r="E77" s="140">
        <f t="shared" si="56"/>
        <v>243445.17600000001</v>
      </c>
      <c r="F77" s="141"/>
      <c r="G77" s="157">
        <f>IF(Input!$I$7="",0,IF(B77=Input!$I$7,Input!$I$6,IF(B77=Input!$I$7+12,Input!$I$6*(1+annual_incr_proptax),IF(B77=Input!$I$7+24,Input!$I$6*(1+annual_incr_proptax)^2,IF(B77=Input!$I$7+36,Input!$I$6*(1+annual_incr_proptax)^3,IF(B77=Input!$I$7+48,Input!$I$6*(1+annual_incr_proptax)^4,IF(B77=Input!$I$7+60,Input!$I$6*(1+annual_incr_proptax)^5,IF(B77=Input!$I$7+72,Input!$I$6*(1+annual_incr_proptax)^6,IF(B77=Input!$I$7+84,Input!$I$6*(1+annual_incr_proptax)^7,IF(B77=Input!$I$7+96,Input!$I$6*(1+annual_incr_proptax)^8,IF(B77=Input!$I$7+108,Input!$I$6*(1+annual_incr_proptax)^9,IF(B77=Input!$I$7+120,Input!$I$6*(1+annual_incr_proptax)^10,0))))))))))))</f>
        <v>0</v>
      </c>
      <c r="H77" s="139">
        <f>IF(Input!$I$10="",0,IF(B77=Input!$I$10,Input!$I$9,IF(B77=Input!$I$10+12,Input!$I$9*(1+annual_incr_ins),IF(B77=Input!$I$10+24,Input!$I$9*(1+annual_incr_ins)^2,IF(B77=Input!$I$10+36,Input!$I$9*(1+annual_incr_ins)^3,IF(B77=Input!$I$10+48,Input!$I$9*(1+annual_incr_ins)^4,IF(B77=Input!$I$10+60,Input!$I$9*(1+annual_incr_ins)^5,IF(B77=Input!$I$10+72,Input!$I$9*(1+annual_incr_ins)^6,IF(B77=Input!$I$10+84,Input!$I$9*(1+annual_incr_ins)^7,IF(B77=Input!$I$10+96,Input!$I$9*(1+annual_incr_ins)^8,IF(B77=Input!$I$10+108,Input!$I$9*(1+annual_incr_ins)^9,IF(B77=Input!$I$10+120,Input!$I$9*(1+annual_incr_ins)^10,0))))))))))))</f>
        <v>0</v>
      </c>
      <c r="I77" s="139">
        <f>IF(OR(Input!$I$13="",B77&lt;Input!$I$13),0,IF(AND(B77&gt;=Input!$I$13,B77&lt;Input!$I$13+12),Input!$I$12,IF(B77=Input!$I$13+12,Input!$I$12*(1+annual_incr_util),IF(B77=Input!$I$13+24,Input!$I$12*(1+annual_incr_util)^2,IF(B77=Input!$I$13+36,Input!$I$12*(1+annual_incr_util)^3,IF(B77=Input!$I$13+48,Input!$I$12*(1+annual_incr_util)^4,IF(B77=Input!$I$13+60,Input!$I$12*(1+annual_incr_util)^5,IF(B77=Input!$I$13+72,Input!$I$12*(1+annual_incr_util)^6,IF(B77=Input!$I$13+84,Input!$I$12*(1+annual_incr_util)^7,IF(B77=Input!$I$13+96,Input!$I$12*(1+annual_incr_util)^8,IF(B77=Input!$I$13+108,Input!$I$12*(1+annual_incr_util)^9,IF(B77=Input!$I$13+120,Input!$I$12*(1+annual_incr_util)^10,I76))))))))))))</f>
        <v>528.03512812322742</v>
      </c>
      <c r="J77" s="139">
        <f>IF(Input!$I$16="",0,IF(B77=Input!$I$16,Input!$I$15,IF(B77=Input!$I$16+12,Input!$I$15*(1+annual_incr_advtg),IF(B77=Input!$I$16+24,Input!$I$15*(1+annual_incr_advtg)^2,IF(B77=Input!$I$16+36,Input!$I$15*(1+annual_incr_advtg)^3,IF(B77=Input!$I$16+48,Input!$I$15*(1+annual_incr_advtg)^4,IF(B77=Input!$I$16+60,Input!$I$15*(1+annual_incr_advtg)^5,IF(B77=Input!$I$16+72,Input!$I$15*(1+annual_incr_advtg)^6,IF(B77=Input!$I$16+84,Input!$I$15*(1+annual_incr_advtg)^7,IF(B77=Input!$I$16+96,Input!$I$15*(1+annual_incr_advtg)^8,IF(B77=Input!$I$16+108,Input!$I$15*(1+annual_incr_advtg)^9,IF(B77=Input!$I$16+120,Input!$I$15*(1+annual_incr_advtg)^10,0))))))))))))</f>
        <v>0</v>
      </c>
      <c r="K77" s="139">
        <f>IF(Input!$I$19="",0,IF(B77=Input!$I$19,Input!$I$18,IF(B77=Input!$I$19+12,Input!$I$18*(1+annual_incr_other1),IF(B77=Input!$I$19+24,Input!$I$18*(1+annual_incr_other1)^2,IF(B77=Input!$I$19+36,Input!$I$18*(1+annual_incr_other1)^3,IF(B77=Input!$I$19+48,Input!$I$18*(1+annual_incr_other1)^4,IF(B77=Input!$I$19+60,Input!$I$18*(1+annual_incr_other1)^5,IF(B77=Input!$I$19+72,Input!$I$18*(1+annual_incr_other1)^6,IF(B77=Input!$I$19+84,Input!$I$18*(1+annual_incr_other1)^7,IF(B77=Input!$I$19+96,Input!$I$18*(1+annual_incr_other1)^8,IF(B77=Input!$I$19+108,Input!$I$18*(1+annual_incr_other1)^9,IF(B77=Input!$I$19+120,Input!$I$18*(1+annual_incr_other1)^10,0))))))))))))</f>
        <v>0</v>
      </c>
      <c r="L77" s="156">
        <f>IF(OR(Input!$I$22="",B77&lt;Input!$I$22),0,IF(AND(B77&gt;=Input!$I$22,B77&lt;Input!$I$22+12),Input!$I$21,IF(B77=Input!$I$22+12,Input!$I$21*(1+annual_incr_other2),IF(B77=Input!$I$22+24,Input!$I$21*(1+annual_incr_other2)^2,IF(B77=Input!$I$22+36,Input!$I$21*(1+annual_incr_other2)^3,IF(B77=Input!$I$22+48,Input!$I$21*(1+annual_incr_other2)^4,IF(B77=Input!$I$22+60,Input!$I$21*(1+annual_incr_other2)^5,IF(B77=Input!$I$22+72,Input!$I$21*(1+annual_incr_other2)^6,IF(B77=Input!$I$22+84,Input!$I$21*(1+annual_incr_other2)^7,IF(B77=Input!$I$22+96,Input!$I$21*(1+annual_incr_other2)^8,IF(B77=Input!$I$22+108,Input!$I$21*(1+annual_incr_other2)^9,IF(B77=Input!$I$22+120,Input!$I$21*(1+annual_incr_other2)^10,L76))))))))))))</f>
        <v>637.8313800170896</v>
      </c>
      <c r="M77" s="139">
        <f>IF(OR(Input!$I$27="",B77&lt;Input!$I$27),0,E77*mgmt_fee)</f>
        <v>2191.0065839999997</v>
      </c>
      <c r="N77" s="139">
        <f>IF(OR(Input!$I$29="",B77&lt;Input!$I$29),0,E77*repairs_maint)</f>
        <v>2677.8969360000001</v>
      </c>
      <c r="O77" s="149">
        <f>IF(Input!$I$31="",0,IF(OR(B77=Input!$I$31,B77=Input!$I$31+12,B77=Input!$I$31+24,B77=Input!$I$31+36,B77=Input!$I$31+48,B77=Input!$I$31+60,B77=Input!$I$31+72,B77=Input!$I$31+84,B77=Input!$I$31+96,B77=Input!$I$31+108,B77=Input!$I$31+120),E77*other_3,0))</f>
        <v>0</v>
      </c>
      <c r="P77" s="158">
        <f t="shared" si="57"/>
        <v>6034.7700281403168</v>
      </c>
      <c r="Q77" s="159">
        <f t="shared" si="58"/>
        <v>237410.4059718597</v>
      </c>
      <c r="R77" s="160"/>
      <c r="S77" s="161">
        <f>IF(AND(leveraged_property,B77&lt;=amort_period),-IPMT(interest_rate/12,B77,amort_period,loan_amount),0)</f>
        <v>39487.16803414718</v>
      </c>
      <c r="T77" s="149">
        <f t="shared" si="59"/>
        <v>14452.787093818049</v>
      </c>
      <c r="U77" s="149">
        <f>IF(AND(leveraged_property,B77&lt;=amort_period),-PMT(interest_rate/12,amort_period,loan_amount),0)</f>
        <v>53939.95512796523</v>
      </c>
      <c r="V77" s="149">
        <f t="shared" si="60"/>
        <v>8600929.3294473849</v>
      </c>
      <c r="W77" s="160"/>
      <c r="X77" s="149">
        <f t="shared" si="61"/>
        <v>115583.24900390624</v>
      </c>
      <c r="Y77" s="162">
        <f t="shared" si="62"/>
        <v>26741340.489543781</v>
      </c>
      <c r="Z77" s="156">
        <f t="shared" si="45"/>
        <v>33024245.308257394</v>
      </c>
      <c r="AA77" s="163">
        <f t="shared" ca="1" si="46"/>
        <v>33024245.308257394</v>
      </c>
      <c r="AB77" s="160"/>
      <c r="AC77" s="164">
        <f>Input!$C$25/12</f>
        <v>26538.461538461535</v>
      </c>
      <c r="AD77" s="139">
        <f t="shared" si="47"/>
        <v>171384.77639925099</v>
      </c>
      <c r="AE77" s="149">
        <f t="shared" si="48"/>
        <v>51415.432919775296</v>
      </c>
      <c r="AF77" s="139">
        <f ca="1">IF(AA77=0,0,AA77-(total_initial_cost-SUM($AC$5:AC77)))</f>
        <v>14261553.000565086</v>
      </c>
      <c r="AG77" s="139">
        <f t="shared" ca="1" si="49"/>
        <v>2852310.6001130175</v>
      </c>
      <c r="AH77" s="149">
        <f t="shared" ca="1" si="63"/>
        <v>30171934.708144374</v>
      </c>
      <c r="AI77" s="103"/>
      <c r="AJ77" s="165">
        <f t="shared" ca="1" si="50"/>
        <v>9471934.7081443742</v>
      </c>
      <c r="AK77" s="165">
        <f t="shared" ca="1" si="40"/>
        <v>10895252.886552263</v>
      </c>
      <c r="AL77" s="300">
        <f t="shared" ca="1" si="41"/>
        <v>0.97279043629930917</v>
      </c>
      <c r="AM77" s="300">
        <f t="shared" si="42"/>
        <v>0.15425725283868441</v>
      </c>
      <c r="AN77" s="300">
        <f t="shared" si="43"/>
        <v>0.1147324006439057</v>
      </c>
      <c r="AO77" s="301">
        <f>IF(leveraged_property,SUM(Q66:Q77)/SUM(U66:U77),"N/A")</f>
        <v>3.6691426724626419</v>
      </c>
      <c r="AP77" s="103"/>
      <c r="AQ77" s="149">
        <f t="shared" si="64"/>
        <v>183470.45084389448</v>
      </c>
      <c r="AR77" s="149">
        <f t="shared" ca="1" si="51"/>
        <v>24606786.429653902</v>
      </c>
      <c r="AS77" s="288">
        <f ca="1">IF(down_payment&lt;=0,"N/A",IRR(($AQ$4:AQ76,AR77),))</f>
        <v>1.7601207911107239E-2</v>
      </c>
      <c r="AT77" s="290">
        <f t="shared" ca="1" si="52"/>
        <v>0.23290997368177035</v>
      </c>
      <c r="AU77" s="288">
        <f ca="1">IF(down_payment&lt;=0,"N/A",MIRR(($AQ$4:AQ76,AR77),finance_rate,reinvestment_rate))</f>
        <v>1.707536984510627E-2</v>
      </c>
      <c r="AV77" s="290">
        <f t="shared" ca="1" si="53"/>
        <v>0.22528649675130175</v>
      </c>
      <c r="AW77" s="103"/>
      <c r="AX77" s="152" t="str">
        <f t="shared" si="54"/>
        <v/>
      </c>
      <c r="AY77" s="296" t="str">
        <f>IF(AND(B77=$BA$4,OR(down_payment&lt;=0,purchase_date="")),"N/A",IF(B77=$BA$4,XIRR(AX$4:AX77,A$4:A77),""))</f>
        <v/>
      </c>
      <c r="BA77" s="178"/>
    </row>
    <row r="78" spans="1:53">
      <c r="A78" s="137">
        <f t="shared" si="65"/>
        <v>42415</v>
      </c>
      <c r="B78" s="138">
        <f t="shared" si="55"/>
        <v>74</v>
      </c>
      <c r="C78" s="139">
        <f>C77+(C77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78" s="139">
        <f t="shared" si="44"/>
        <v>12812.904000000002</v>
      </c>
      <c r="E78" s="140">
        <f t="shared" si="56"/>
        <v>243445.17600000001</v>
      </c>
      <c r="F78" s="141"/>
      <c r="G78" s="157">
        <f>IF(Input!$I$7="",0,IF(B78=Input!$I$7,Input!$I$6,IF(B78=Input!$I$7+12,Input!$I$6*(1+annual_incr_proptax),IF(B78=Input!$I$7+24,Input!$I$6*(1+annual_incr_proptax)^2,IF(B78=Input!$I$7+36,Input!$I$6*(1+annual_incr_proptax)^3,IF(B78=Input!$I$7+48,Input!$I$6*(1+annual_incr_proptax)^4,IF(B78=Input!$I$7+60,Input!$I$6*(1+annual_incr_proptax)^5,IF(B78=Input!$I$7+72,Input!$I$6*(1+annual_incr_proptax)^6,IF(B78=Input!$I$7+84,Input!$I$6*(1+annual_incr_proptax)^7,IF(B78=Input!$I$7+96,Input!$I$6*(1+annual_incr_proptax)^8,IF(B78=Input!$I$7+108,Input!$I$6*(1+annual_incr_proptax)^9,IF(B78=Input!$I$7+120,Input!$I$6*(1+annual_incr_proptax)^10,0))))))))))))</f>
        <v>57775.000338192214</v>
      </c>
      <c r="H78" s="139">
        <f>IF(Input!$I$10="",0,IF(B78=Input!$I$10,Input!$I$9,IF(B78=Input!$I$10+12,Input!$I$9*(1+annual_incr_ins),IF(B78=Input!$I$10+24,Input!$I$9*(1+annual_incr_ins)^2,IF(B78=Input!$I$10+36,Input!$I$9*(1+annual_incr_ins)^3,IF(B78=Input!$I$10+48,Input!$I$9*(1+annual_incr_ins)^4,IF(B78=Input!$I$10+60,Input!$I$9*(1+annual_incr_ins)^5,IF(B78=Input!$I$10+72,Input!$I$9*(1+annual_incr_ins)^6,IF(B78=Input!$I$10+84,Input!$I$9*(1+annual_incr_ins)^7,IF(B78=Input!$I$10+96,Input!$I$9*(1+annual_incr_ins)^8,IF(B78=Input!$I$10+108,Input!$I$9*(1+annual_incr_ins)^9,IF(B78=Input!$I$10+120,Input!$I$9*(1+annual_incr_ins)^10,0))))))))))))</f>
        <v>0</v>
      </c>
      <c r="I78" s="139">
        <f>IF(OR(Input!$I$13="",B78&lt;Input!$I$13),0,IF(AND(B78&gt;=Input!$I$13,B78&lt;Input!$I$13+12),Input!$I$12,IF(B78=Input!$I$13+12,Input!$I$12*(1+annual_incr_util),IF(B78=Input!$I$13+24,Input!$I$12*(1+annual_incr_util)^2,IF(B78=Input!$I$13+36,Input!$I$12*(1+annual_incr_util)^3,IF(B78=Input!$I$13+48,Input!$I$12*(1+annual_incr_util)^4,IF(B78=Input!$I$13+60,Input!$I$12*(1+annual_incr_util)^5,IF(B78=Input!$I$13+72,Input!$I$12*(1+annual_incr_util)^6,IF(B78=Input!$I$13+84,Input!$I$12*(1+annual_incr_util)^7,IF(B78=Input!$I$13+96,Input!$I$12*(1+annual_incr_util)^8,IF(B78=Input!$I$13+108,Input!$I$12*(1+annual_incr_util)^9,IF(B78=Input!$I$13+120,Input!$I$12*(1+annual_incr_util)^10,I77))))))))))))</f>
        <v>528.03512812322742</v>
      </c>
      <c r="J78" s="139">
        <f>IF(Input!$I$16="",0,IF(B78=Input!$I$16,Input!$I$15,IF(B78=Input!$I$16+12,Input!$I$15*(1+annual_incr_advtg),IF(B78=Input!$I$16+24,Input!$I$15*(1+annual_incr_advtg)^2,IF(B78=Input!$I$16+36,Input!$I$15*(1+annual_incr_advtg)^3,IF(B78=Input!$I$16+48,Input!$I$15*(1+annual_incr_advtg)^4,IF(B78=Input!$I$16+60,Input!$I$15*(1+annual_incr_advtg)^5,IF(B78=Input!$I$16+72,Input!$I$15*(1+annual_incr_advtg)^6,IF(B78=Input!$I$16+84,Input!$I$15*(1+annual_incr_advtg)^7,IF(B78=Input!$I$16+96,Input!$I$15*(1+annual_incr_advtg)^8,IF(B78=Input!$I$16+108,Input!$I$15*(1+annual_incr_advtg)^9,IF(B78=Input!$I$16+120,Input!$I$15*(1+annual_incr_advtg)^10,0))))))))))))</f>
        <v>0</v>
      </c>
      <c r="K78" s="139">
        <f>IF(Input!$I$19="",0,IF(B78=Input!$I$19,Input!$I$18,IF(B78=Input!$I$19+12,Input!$I$18*(1+annual_incr_other1),IF(B78=Input!$I$19+24,Input!$I$18*(1+annual_incr_other1)^2,IF(B78=Input!$I$19+36,Input!$I$18*(1+annual_incr_other1)^3,IF(B78=Input!$I$19+48,Input!$I$18*(1+annual_incr_other1)^4,IF(B78=Input!$I$19+60,Input!$I$18*(1+annual_incr_other1)^5,IF(B78=Input!$I$19+72,Input!$I$18*(1+annual_incr_other1)^6,IF(B78=Input!$I$19+84,Input!$I$18*(1+annual_incr_other1)^7,IF(B78=Input!$I$19+96,Input!$I$18*(1+annual_incr_other1)^8,IF(B78=Input!$I$19+108,Input!$I$18*(1+annual_incr_other1)^9,IF(B78=Input!$I$19+120,Input!$I$18*(1+annual_incr_other1)^10,0))))))))))))</f>
        <v>0</v>
      </c>
      <c r="L78" s="156">
        <f>IF(OR(Input!$I$22="",B78&lt;Input!$I$22),0,IF(AND(B78&gt;=Input!$I$22,B78&lt;Input!$I$22+12),Input!$I$21,IF(B78=Input!$I$22+12,Input!$I$21*(1+annual_incr_other2),IF(B78=Input!$I$22+24,Input!$I$21*(1+annual_incr_other2)^2,IF(B78=Input!$I$22+36,Input!$I$21*(1+annual_incr_other2)^3,IF(B78=Input!$I$22+48,Input!$I$21*(1+annual_incr_other2)^4,IF(B78=Input!$I$22+60,Input!$I$21*(1+annual_incr_other2)^5,IF(B78=Input!$I$22+72,Input!$I$21*(1+annual_incr_other2)^6,IF(B78=Input!$I$22+84,Input!$I$21*(1+annual_incr_other2)^7,IF(B78=Input!$I$22+96,Input!$I$21*(1+annual_incr_other2)^8,IF(B78=Input!$I$22+108,Input!$I$21*(1+annual_incr_other2)^9,IF(B78=Input!$I$22+120,Input!$I$21*(1+annual_incr_other2)^10,L77))))))))))))</f>
        <v>637.8313800170896</v>
      </c>
      <c r="M78" s="139">
        <f>IF(OR(Input!$I$27="",B78&lt;Input!$I$27),0,E78*mgmt_fee)</f>
        <v>2191.0065839999997</v>
      </c>
      <c r="N78" s="139">
        <f>IF(OR(Input!$I$29="",B78&lt;Input!$I$29),0,E78*repairs_maint)</f>
        <v>2677.8969360000001</v>
      </c>
      <c r="O78" s="149">
        <f>IF(Input!$I$31="",0,IF(OR(B78=Input!$I$31,B78=Input!$I$31+12,B78=Input!$I$31+24,B78=Input!$I$31+36,B78=Input!$I$31+48,B78=Input!$I$31+60,B78=Input!$I$31+72,B78=Input!$I$31+84,B78=Input!$I$31+96,B78=Input!$I$31+108,B78=Input!$I$31+120),E78*other_3,0))</f>
        <v>3116.0982528000004</v>
      </c>
      <c r="P78" s="158">
        <f t="shared" si="57"/>
        <v>66925.868619132525</v>
      </c>
      <c r="Q78" s="159">
        <f t="shared" si="58"/>
        <v>176519.30738086748</v>
      </c>
      <c r="R78" s="160"/>
      <c r="S78" s="161">
        <f>IF(AND(leveraged_property,B78&lt;=amort_period),-IPMT(interest_rate/12,B78,amort_period,loan_amount),0)</f>
        <v>39420.926093300513</v>
      </c>
      <c r="T78" s="149">
        <f t="shared" si="59"/>
        <v>14519.029034664716</v>
      </c>
      <c r="U78" s="149">
        <f>IF(AND(leveraged_property,B78&lt;=amort_period),-PMT(interest_rate/12,amort_period,loan_amount),0)</f>
        <v>53939.95512796523</v>
      </c>
      <c r="V78" s="149">
        <f t="shared" si="60"/>
        <v>8586410.3004127201</v>
      </c>
      <c r="W78" s="160"/>
      <c r="X78" s="149">
        <f t="shared" si="61"/>
        <v>115583.24900390624</v>
      </c>
      <c r="Y78" s="162">
        <f t="shared" si="62"/>
        <v>26852300.40858753</v>
      </c>
      <c r="Z78" s="156">
        <f t="shared" si="45"/>
        <v>32999582.525001381</v>
      </c>
      <c r="AA78" s="163">
        <f t="shared" ca="1" si="46"/>
        <v>32999582.525001381</v>
      </c>
      <c r="AB78" s="160"/>
      <c r="AC78" s="164">
        <f>Input!$C$25/12</f>
        <v>26538.461538461535</v>
      </c>
      <c r="AD78" s="139">
        <f t="shared" si="47"/>
        <v>110559.91974910544</v>
      </c>
      <c r="AE78" s="149">
        <f t="shared" si="48"/>
        <v>33167.975924731632</v>
      </c>
      <c r="AF78" s="139">
        <f ca="1">IF(AA78=0,0,AA78-(total_initial_cost-SUM($AC$5:AC78)))</f>
        <v>14263428.678847533</v>
      </c>
      <c r="AG78" s="139">
        <f t="shared" ca="1" si="49"/>
        <v>2852685.7357695065</v>
      </c>
      <c r="AH78" s="149">
        <f t="shared" ca="1" si="63"/>
        <v>30146896.789231874</v>
      </c>
      <c r="AI78" s="103"/>
      <c r="AJ78" s="165">
        <f t="shared" ca="1" si="50"/>
        <v>9446896.789231874</v>
      </c>
      <c r="AK78" s="165">
        <f t="shared" ca="1" si="40"/>
        <v>10893316.015579801</v>
      </c>
      <c r="AL78" s="300">
        <f t="shared" ca="1" si="41"/>
        <v>0.97261750139105363</v>
      </c>
      <c r="AM78" s="300">
        <f t="shared" si="42"/>
        <v>0.15713459572002678</v>
      </c>
      <c r="AN78" s="300">
        <f t="shared" si="43"/>
        <v>0.11628922384540497</v>
      </c>
      <c r="AO78" s="301">
        <f>IF(leveraged_property,SUM(Q67:Q78)/SUM(U67:U78),"N/A")</f>
        <v>3.7189298852294157</v>
      </c>
      <c r="AP78" s="103"/>
      <c r="AQ78" s="149">
        <f t="shared" si="64"/>
        <v>122579.35225290226</v>
      </c>
      <c r="AR78" s="149">
        <f t="shared" ca="1" si="51"/>
        <v>24535751.576841563</v>
      </c>
      <c r="AS78" s="288">
        <f ca="1">IF(down_payment&lt;=0,"N/A",IRR(($AQ$4:AQ77,AR78),))</f>
        <v>1.746419904560648E-2</v>
      </c>
      <c r="AT78" s="290">
        <f t="shared" ca="1" si="52"/>
        <v>0.23091947409384739</v>
      </c>
      <c r="AU78" s="288">
        <f ca="1">IF(down_payment&lt;=0,"N/A",MIRR(($AQ$4:AQ77,AR78),finance_rate,reinvestment_rate))</f>
        <v>1.6957815795078268E-2</v>
      </c>
      <c r="AV78" s="290">
        <f t="shared" ca="1" si="53"/>
        <v>0.22358814636935631</v>
      </c>
      <c r="AW78" s="103"/>
      <c r="AX78" s="152" t="str">
        <f t="shared" si="54"/>
        <v/>
      </c>
      <c r="AY78" s="296" t="str">
        <f>IF(AND(B78=$BA$4,OR(down_payment&lt;=0,purchase_date="")),"N/A",IF(B78=$BA$4,XIRR(AX$4:AX78,A$4:A78),""))</f>
        <v/>
      </c>
      <c r="BA78" s="178"/>
    </row>
    <row r="79" spans="1:53">
      <c r="A79" s="137">
        <f t="shared" si="65"/>
        <v>42444</v>
      </c>
      <c r="B79" s="138">
        <f t="shared" si="55"/>
        <v>75</v>
      </c>
      <c r="C79" s="139">
        <f>C78+(C78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79" s="139">
        <f t="shared" si="44"/>
        <v>12812.904000000002</v>
      </c>
      <c r="E79" s="140">
        <f t="shared" si="56"/>
        <v>243445.17600000001</v>
      </c>
      <c r="F79" s="141"/>
      <c r="G79" s="157">
        <f>IF(Input!$I$7="",0,IF(B79=Input!$I$7,Input!$I$6,IF(B79=Input!$I$7+12,Input!$I$6*(1+annual_incr_proptax),IF(B79=Input!$I$7+24,Input!$I$6*(1+annual_incr_proptax)^2,IF(B79=Input!$I$7+36,Input!$I$6*(1+annual_incr_proptax)^3,IF(B79=Input!$I$7+48,Input!$I$6*(1+annual_incr_proptax)^4,IF(B79=Input!$I$7+60,Input!$I$6*(1+annual_incr_proptax)^5,IF(B79=Input!$I$7+72,Input!$I$6*(1+annual_incr_proptax)^6,IF(B79=Input!$I$7+84,Input!$I$6*(1+annual_incr_proptax)^7,IF(B79=Input!$I$7+96,Input!$I$6*(1+annual_incr_proptax)^8,IF(B79=Input!$I$7+108,Input!$I$6*(1+annual_incr_proptax)^9,IF(B79=Input!$I$7+120,Input!$I$6*(1+annual_incr_proptax)^10,0))))))))))))</f>
        <v>0</v>
      </c>
      <c r="H79" s="139">
        <f>IF(Input!$I$10="",0,IF(B79=Input!$I$10,Input!$I$9,IF(B79=Input!$I$10+12,Input!$I$9*(1+annual_incr_ins),IF(B79=Input!$I$10+24,Input!$I$9*(1+annual_incr_ins)^2,IF(B79=Input!$I$10+36,Input!$I$9*(1+annual_incr_ins)^3,IF(B79=Input!$I$10+48,Input!$I$9*(1+annual_incr_ins)^4,IF(B79=Input!$I$10+60,Input!$I$9*(1+annual_incr_ins)^5,IF(B79=Input!$I$10+72,Input!$I$9*(1+annual_incr_ins)^6,IF(B79=Input!$I$10+84,Input!$I$9*(1+annual_incr_ins)^7,IF(B79=Input!$I$10+96,Input!$I$9*(1+annual_incr_ins)^8,IF(B79=Input!$I$10+108,Input!$I$9*(1+annual_incr_ins)^9,IF(B79=Input!$I$10+120,Input!$I$9*(1+annual_incr_ins)^10,0))))))))))))</f>
        <v>0</v>
      </c>
      <c r="I79" s="139">
        <f>IF(OR(Input!$I$13="",B79&lt;Input!$I$13),0,IF(AND(B79&gt;=Input!$I$13,B79&lt;Input!$I$13+12),Input!$I$12,IF(B79=Input!$I$13+12,Input!$I$12*(1+annual_incr_util),IF(B79=Input!$I$13+24,Input!$I$12*(1+annual_incr_util)^2,IF(B79=Input!$I$13+36,Input!$I$12*(1+annual_incr_util)^3,IF(B79=Input!$I$13+48,Input!$I$12*(1+annual_incr_util)^4,IF(B79=Input!$I$13+60,Input!$I$12*(1+annual_incr_util)^5,IF(B79=Input!$I$13+72,Input!$I$12*(1+annual_incr_util)^6,IF(B79=Input!$I$13+84,Input!$I$12*(1+annual_incr_util)^7,IF(B79=Input!$I$13+96,Input!$I$12*(1+annual_incr_util)^8,IF(B79=Input!$I$13+108,Input!$I$12*(1+annual_incr_util)^9,IF(B79=Input!$I$13+120,Input!$I$12*(1+annual_incr_util)^10,I78))))))))))))</f>
        <v>528.03512812322742</v>
      </c>
      <c r="J79" s="139">
        <f>IF(Input!$I$16="",0,IF(B79=Input!$I$16,Input!$I$15,IF(B79=Input!$I$16+12,Input!$I$15*(1+annual_incr_advtg),IF(B79=Input!$I$16+24,Input!$I$15*(1+annual_incr_advtg)^2,IF(B79=Input!$I$16+36,Input!$I$15*(1+annual_incr_advtg)^3,IF(B79=Input!$I$16+48,Input!$I$15*(1+annual_incr_advtg)^4,IF(B79=Input!$I$16+60,Input!$I$15*(1+annual_incr_advtg)^5,IF(B79=Input!$I$16+72,Input!$I$15*(1+annual_incr_advtg)^6,IF(B79=Input!$I$16+84,Input!$I$15*(1+annual_incr_advtg)^7,IF(B79=Input!$I$16+96,Input!$I$15*(1+annual_incr_advtg)^8,IF(B79=Input!$I$16+108,Input!$I$15*(1+annual_incr_advtg)^9,IF(B79=Input!$I$16+120,Input!$I$15*(1+annual_incr_advtg)^10,0))))))))))))</f>
        <v>0</v>
      </c>
      <c r="K79" s="139">
        <f>IF(Input!$I$19="",0,IF(B79=Input!$I$19,Input!$I$18,IF(B79=Input!$I$19+12,Input!$I$18*(1+annual_incr_other1),IF(B79=Input!$I$19+24,Input!$I$18*(1+annual_incr_other1)^2,IF(B79=Input!$I$19+36,Input!$I$18*(1+annual_incr_other1)^3,IF(B79=Input!$I$19+48,Input!$I$18*(1+annual_incr_other1)^4,IF(B79=Input!$I$19+60,Input!$I$18*(1+annual_incr_other1)^5,IF(B79=Input!$I$19+72,Input!$I$18*(1+annual_incr_other1)^6,IF(B79=Input!$I$19+84,Input!$I$18*(1+annual_incr_other1)^7,IF(B79=Input!$I$19+96,Input!$I$18*(1+annual_incr_other1)^8,IF(B79=Input!$I$19+108,Input!$I$18*(1+annual_incr_other1)^9,IF(B79=Input!$I$19+120,Input!$I$18*(1+annual_incr_other1)^10,0))))))))))))</f>
        <v>0</v>
      </c>
      <c r="L79" s="156">
        <f>IF(OR(Input!$I$22="",B79&lt;Input!$I$22),0,IF(AND(B79&gt;=Input!$I$22,B79&lt;Input!$I$22+12),Input!$I$21,IF(B79=Input!$I$22+12,Input!$I$21*(1+annual_incr_other2),IF(B79=Input!$I$22+24,Input!$I$21*(1+annual_incr_other2)^2,IF(B79=Input!$I$22+36,Input!$I$21*(1+annual_incr_other2)^3,IF(B79=Input!$I$22+48,Input!$I$21*(1+annual_incr_other2)^4,IF(B79=Input!$I$22+60,Input!$I$21*(1+annual_incr_other2)^5,IF(B79=Input!$I$22+72,Input!$I$21*(1+annual_incr_other2)^6,IF(B79=Input!$I$22+84,Input!$I$21*(1+annual_incr_other2)^7,IF(B79=Input!$I$22+96,Input!$I$21*(1+annual_incr_other2)^8,IF(B79=Input!$I$22+108,Input!$I$21*(1+annual_incr_other2)^9,IF(B79=Input!$I$22+120,Input!$I$21*(1+annual_incr_other2)^10,L78))))))))))))</f>
        <v>637.8313800170896</v>
      </c>
      <c r="M79" s="139">
        <f>IF(OR(Input!$I$27="",B79&lt;Input!$I$27),0,E79*mgmt_fee)</f>
        <v>2191.0065839999997</v>
      </c>
      <c r="N79" s="139">
        <f>IF(OR(Input!$I$29="",B79&lt;Input!$I$29),0,E79*repairs_maint)</f>
        <v>2677.8969360000001</v>
      </c>
      <c r="O79" s="149">
        <f>IF(Input!$I$31="",0,IF(OR(B79=Input!$I$31,B79=Input!$I$31+12,B79=Input!$I$31+24,B79=Input!$I$31+36,B79=Input!$I$31+48,B79=Input!$I$31+60,B79=Input!$I$31+72,B79=Input!$I$31+84,B79=Input!$I$31+96,B79=Input!$I$31+108,B79=Input!$I$31+120),E79*other_3,0))</f>
        <v>0</v>
      </c>
      <c r="P79" s="158">
        <f t="shared" si="57"/>
        <v>6034.7700281403168</v>
      </c>
      <c r="Q79" s="159">
        <f t="shared" si="58"/>
        <v>237410.4059718597</v>
      </c>
      <c r="R79" s="160"/>
      <c r="S79" s="161">
        <f>IF(AND(leveraged_property,B79&lt;=amort_period),-IPMT(interest_rate/12,B79,amort_period,loan_amount),0)</f>
        <v>39354.380543558298</v>
      </c>
      <c r="T79" s="149">
        <f t="shared" si="59"/>
        <v>14585.574584406932</v>
      </c>
      <c r="U79" s="149">
        <f>IF(AND(leveraged_property,B79&lt;=amort_period),-PMT(interest_rate/12,amort_period,loan_amount),0)</f>
        <v>53939.95512796523</v>
      </c>
      <c r="V79" s="149">
        <f t="shared" si="60"/>
        <v>8571824.7258283123</v>
      </c>
      <c r="W79" s="160"/>
      <c r="X79" s="149">
        <f t="shared" si="61"/>
        <v>115583.24900390624</v>
      </c>
      <c r="Y79" s="162">
        <f t="shared" si="62"/>
        <v>26963260.32763128</v>
      </c>
      <c r="Z79" s="156">
        <f t="shared" si="45"/>
        <v>32999185.241887406</v>
      </c>
      <c r="AA79" s="163">
        <f t="shared" ca="1" si="46"/>
        <v>32999185.241887406</v>
      </c>
      <c r="AB79" s="160"/>
      <c r="AC79" s="164">
        <f>Input!$C$25/12</f>
        <v>26538.461538461535</v>
      </c>
      <c r="AD79" s="139">
        <f t="shared" si="47"/>
        <v>171517.56388983986</v>
      </c>
      <c r="AE79" s="149">
        <f t="shared" si="48"/>
        <v>51455.269166951955</v>
      </c>
      <c r="AF79" s="139">
        <f ca="1">IF(AA79=0,0,AA79-(total_initial_cost-SUM($AC$5:AC79)))</f>
        <v>14289569.857272018</v>
      </c>
      <c r="AG79" s="139">
        <f t="shared" ca="1" si="49"/>
        <v>2857913.9714544038</v>
      </c>
      <c r="AH79" s="149">
        <f t="shared" ca="1" si="63"/>
        <v>30141271.270433001</v>
      </c>
      <c r="AI79" s="103"/>
      <c r="AJ79" s="165">
        <f t="shared" ca="1" si="50"/>
        <v>9441271.2704330012</v>
      </c>
      <c r="AK79" s="165">
        <f t="shared" ca="1" si="40"/>
        <v>10912478.589273069</v>
      </c>
      <c r="AL79" s="300">
        <f t="shared" ca="1" si="41"/>
        <v>0.97432844547080977</v>
      </c>
      <c r="AM79" s="300">
        <f t="shared" si="42"/>
        <v>0.1602268056000824</v>
      </c>
      <c r="AN79" s="300">
        <f t="shared" si="43"/>
        <v>0.11796230358727081</v>
      </c>
      <c r="AO79" s="301">
        <f>IF(leveraged_property,SUM(Q68:Q79)/SUM(U68:U79),"N/A")</f>
        <v>3.7724349826636234</v>
      </c>
      <c r="AP79" s="103"/>
      <c r="AQ79" s="149">
        <f t="shared" si="64"/>
        <v>183470.45084389448</v>
      </c>
      <c r="AR79" s="149">
        <f t="shared" ca="1" si="51"/>
        <v>24610830.966902986</v>
      </c>
      <c r="AS79" s="288">
        <f ca="1">IF(down_payment&lt;=0,"N/A",IRR(($AQ$4:AQ78,AR79),))</f>
        <v>1.7367303503831616E-2</v>
      </c>
      <c r="AT79" s="290">
        <f t="shared" ca="1" si="52"/>
        <v>0.22951352988949192</v>
      </c>
      <c r="AU79" s="288">
        <f ca="1">IF(down_payment&lt;=0,"N/A",MIRR(($AQ$4:AQ78,AR79),finance_rate,reinvestment_rate))</f>
        <v>1.6873644294360446E-2</v>
      </c>
      <c r="AV79" s="290">
        <f t="shared" ca="1" si="53"/>
        <v>0.22237341304035474</v>
      </c>
      <c r="AW79" s="103"/>
      <c r="AX79" s="152" t="str">
        <f t="shared" si="54"/>
        <v/>
      </c>
      <c r="AY79" s="296" t="str">
        <f>IF(AND(B79=$BA$4,OR(down_payment&lt;=0,purchase_date="")),"N/A",IF(B79=$BA$4,XIRR(AX$4:AX79,A$4:A79),""))</f>
        <v/>
      </c>
      <c r="BA79" s="178"/>
    </row>
    <row r="80" spans="1:53">
      <c r="A80" s="137">
        <f t="shared" si="65"/>
        <v>42475</v>
      </c>
      <c r="B80" s="138">
        <f t="shared" si="55"/>
        <v>76</v>
      </c>
      <c r="C80" s="139">
        <f>C79+(C79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0" s="139">
        <f t="shared" si="44"/>
        <v>12812.904000000002</v>
      </c>
      <c r="E80" s="140">
        <f t="shared" si="56"/>
        <v>243445.17600000001</v>
      </c>
      <c r="F80" s="141"/>
      <c r="G80" s="157">
        <f>IF(Input!$I$7="",0,IF(B80=Input!$I$7,Input!$I$6,IF(B80=Input!$I$7+12,Input!$I$6*(1+annual_incr_proptax),IF(B80=Input!$I$7+24,Input!$I$6*(1+annual_incr_proptax)^2,IF(B80=Input!$I$7+36,Input!$I$6*(1+annual_incr_proptax)^3,IF(B80=Input!$I$7+48,Input!$I$6*(1+annual_incr_proptax)^4,IF(B80=Input!$I$7+60,Input!$I$6*(1+annual_incr_proptax)^5,IF(B80=Input!$I$7+72,Input!$I$6*(1+annual_incr_proptax)^6,IF(B80=Input!$I$7+84,Input!$I$6*(1+annual_incr_proptax)^7,IF(B80=Input!$I$7+96,Input!$I$6*(1+annual_incr_proptax)^8,IF(B80=Input!$I$7+108,Input!$I$6*(1+annual_incr_proptax)^9,IF(B80=Input!$I$7+120,Input!$I$6*(1+annual_incr_proptax)^10,0))))))))))))</f>
        <v>0</v>
      </c>
      <c r="H80" s="139">
        <f>IF(Input!$I$10="",0,IF(B80=Input!$I$10,Input!$I$9,IF(B80=Input!$I$10+12,Input!$I$9*(1+annual_incr_ins),IF(B80=Input!$I$10+24,Input!$I$9*(1+annual_incr_ins)^2,IF(B80=Input!$I$10+36,Input!$I$9*(1+annual_incr_ins)^3,IF(B80=Input!$I$10+48,Input!$I$9*(1+annual_incr_ins)^4,IF(B80=Input!$I$10+60,Input!$I$9*(1+annual_incr_ins)^5,IF(B80=Input!$I$10+72,Input!$I$9*(1+annual_incr_ins)^6,IF(B80=Input!$I$10+84,Input!$I$9*(1+annual_incr_ins)^7,IF(B80=Input!$I$10+96,Input!$I$9*(1+annual_incr_ins)^8,IF(B80=Input!$I$10+108,Input!$I$9*(1+annual_incr_ins)^9,IF(B80=Input!$I$10+120,Input!$I$9*(1+annual_incr_ins)^10,0))))))))))))</f>
        <v>0</v>
      </c>
      <c r="I80" s="139">
        <f>IF(OR(Input!$I$13="",B80&lt;Input!$I$13),0,IF(AND(B80&gt;=Input!$I$13,B80&lt;Input!$I$13+12),Input!$I$12,IF(B80=Input!$I$13+12,Input!$I$12*(1+annual_incr_util),IF(B80=Input!$I$13+24,Input!$I$12*(1+annual_incr_util)^2,IF(B80=Input!$I$13+36,Input!$I$12*(1+annual_incr_util)^3,IF(B80=Input!$I$13+48,Input!$I$12*(1+annual_incr_util)^4,IF(B80=Input!$I$13+60,Input!$I$12*(1+annual_incr_util)^5,IF(B80=Input!$I$13+72,Input!$I$12*(1+annual_incr_util)^6,IF(B80=Input!$I$13+84,Input!$I$12*(1+annual_incr_util)^7,IF(B80=Input!$I$13+96,Input!$I$12*(1+annual_incr_util)^8,IF(B80=Input!$I$13+108,Input!$I$12*(1+annual_incr_util)^9,IF(B80=Input!$I$13+120,Input!$I$12*(1+annual_incr_util)^10,I79))))))))))))</f>
        <v>545.19626978723227</v>
      </c>
      <c r="J80" s="139">
        <f>IF(Input!$I$16="",0,IF(B80=Input!$I$16,Input!$I$15,IF(B80=Input!$I$16+12,Input!$I$15*(1+annual_incr_advtg),IF(B80=Input!$I$16+24,Input!$I$15*(1+annual_incr_advtg)^2,IF(B80=Input!$I$16+36,Input!$I$15*(1+annual_incr_advtg)^3,IF(B80=Input!$I$16+48,Input!$I$15*(1+annual_incr_advtg)^4,IF(B80=Input!$I$16+60,Input!$I$15*(1+annual_incr_advtg)^5,IF(B80=Input!$I$16+72,Input!$I$15*(1+annual_incr_advtg)^6,IF(B80=Input!$I$16+84,Input!$I$15*(1+annual_incr_advtg)^7,IF(B80=Input!$I$16+96,Input!$I$15*(1+annual_incr_advtg)^8,IF(B80=Input!$I$16+108,Input!$I$15*(1+annual_incr_advtg)^9,IF(B80=Input!$I$16+120,Input!$I$15*(1+annual_incr_advtg)^10,0))))))))))))</f>
        <v>0</v>
      </c>
      <c r="K80" s="139">
        <f>IF(Input!$I$19="",0,IF(B80=Input!$I$19,Input!$I$18,IF(B80=Input!$I$19+12,Input!$I$18*(1+annual_incr_other1),IF(B80=Input!$I$19+24,Input!$I$18*(1+annual_incr_other1)^2,IF(B80=Input!$I$19+36,Input!$I$18*(1+annual_incr_other1)^3,IF(B80=Input!$I$19+48,Input!$I$18*(1+annual_incr_other1)^4,IF(B80=Input!$I$19+60,Input!$I$18*(1+annual_incr_other1)^5,IF(B80=Input!$I$19+72,Input!$I$18*(1+annual_incr_other1)^6,IF(B80=Input!$I$19+84,Input!$I$18*(1+annual_incr_other1)^7,IF(B80=Input!$I$19+96,Input!$I$18*(1+annual_incr_other1)^8,IF(B80=Input!$I$19+108,Input!$I$18*(1+annual_incr_other1)^9,IF(B80=Input!$I$19+120,Input!$I$18*(1+annual_incr_other1)^10,0))))))))))))</f>
        <v>0</v>
      </c>
      <c r="L80" s="156">
        <f>IF(OR(Input!$I$22="",B80&lt;Input!$I$22),0,IF(AND(B80&gt;=Input!$I$22,B80&lt;Input!$I$22+12),Input!$I$21,IF(B80=Input!$I$22+12,Input!$I$21*(1+annual_incr_other2),IF(B80=Input!$I$22+24,Input!$I$21*(1+annual_incr_other2)^2,IF(B80=Input!$I$22+36,Input!$I$21*(1+annual_incr_other2)^3,IF(B80=Input!$I$22+48,Input!$I$21*(1+annual_incr_other2)^4,IF(B80=Input!$I$22+60,Input!$I$21*(1+annual_incr_other2)^5,IF(B80=Input!$I$22+72,Input!$I$21*(1+annual_incr_other2)^6,IF(B80=Input!$I$22+84,Input!$I$21*(1+annual_incr_other2)^7,IF(B80=Input!$I$22+96,Input!$I$21*(1+annual_incr_other2)^8,IF(B80=Input!$I$22+108,Input!$I$21*(1+annual_incr_other2)^9,IF(B80=Input!$I$22+120,Input!$I$21*(1+annual_incr_other2)^10,L79))))))))))))</f>
        <v>637.8313800170896</v>
      </c>
      <c r="M80" s="139">
        <f>IF(OR(Input!$I$27="",B80&lt;Input!$I$27),0,E80*mgmt_fee)</f>
        <v>2191.0065839999997</v>
      </c>
      <c r="N80" s="139">
        <f>IF(OR(Input!$I$29="",B80&lt;Input!$I$29),0,E80*repairs_maint)</f>
        <v>2677.8969360000001</v>
      </c>
      <c r="O80" s="149">
        <f>IF(Input!$I$31="",0,IF(OR(B80=Input!$I$31,B80=Input!$I$31+12,B80=Input!$I$31+24,B80=Input!$I$31+36,B80=Input!$I$31+48,B80=Input!$I$31+60,B80=Input!$I$31+72,B80=Input!$I$31+84,B80=Input!$I$31+96,B80=Input!$I$31+108,B80=Input!$I$31+120),E80*other_3,0))</f>
        <v>0</v>
      </c>
      <c r="P80" s="158">
        <f t="shared" si="57"/>
        <v>6051.9311698043221</v>
      </c>
      <c r="Q80" s="159">
        <f t="shared" si="58"/>
        <v>237393.24483019568</v>
      </c>
      <c r="R80" s="160"/>
      <c r="S80" s="161">
        <f>IF(AND(leveraged_property,B80&lt;=amort_period),-IPMT(interest_rate/12,B80,amort_period,loan_amount),0)</f>
        <v>39287.529993379765</v>
      </c>
      <c r="T80" s="149">
        <f t="shared" si="59"/>
        <v>14652.425134585465</v>
      </c>
      <c r="U80" s="149">
        <f>IF(AND(leveraged_property,B80&lt;=amort_period),-PMT(interest_rate/12,amort_period,loan_amount),0)</f>
        <v>53939.95512796523</v>
      </c>
      <c r="V80" s="149">
        <f t="shared" si="60"/>
        <v>8557172.3006937262</v>
      </c>
      <c r="W80" s="160"/>
      <c r="X80" s="149">
        <f t="shared" si="61"/>
        <v>115583.24900390624</v>
      </c>
      <c r="Y80" s="162">
        <f t="shared" si="62"/>
        <v>27074220.246675029</v>
      </c>
      <c r="Z80" s="156">
        <f t="shared" si="45"/>
        <v>32998781.265928186</v>
      </c>
      <c r="AA80" s="163">
        <f t="shared" ca="1" si="46"/>
        <v>32998781.265928186</v>
      </c>
      <c r="AB80" s="160"/>
      <c r="AC80" s="164">
        <f>Input!$C$25/12</f>
        <v>26538.461538461535</v>
      </c>
      <c r="AD80" s="139">
        <f t="shared" si="47"/>
        <v>171567.25329835436</v>
      </c>
      <c r="AE80" s="149">
        <f t="shared" si="48"/>
        <v>51470.175989506308</v>
      </c>
      <c r="AF80" s="139">
        <f ca="1">IF(AA80=0,0,AA80-(total_initial_cost-SUM($AC$5:AC80)))</f>
        <v>14315704.342851263</v>
      </c>
      <c r="AG80" s="139">
        <f t="shared" ca="1" si="49"/>
        <v>2863140.8685702528</v>
      </c>
      <c r="AH80" s="149">
        <f t="shared" ca="1" si="63"/>
        <v>30135640.397357933</v>
      </c>
      <c r="AI80" s="103"/>
      <c r="AJ80" s="165">
        <f t="shared" ca="1" si="50"/>
        <v>9435640.3973579332</v>
      </c>
      <c r="AK80" s="165">
        <f t="shared" ref="AK80:AK111" ca="1" si="66">SUM(Q69:Q80)-SUM(S69:S80)-SUM(AE69:AE80)+AJ80</f>
        <v>10931637.929245524</v>
      </c>
      <c r="AL80" s="300">
        <f t="shared" ref="AL80:AL111" ca="1" si="67">IF(down_payment&lt;=0,"N/A",AK80/down_payment)</f>
        <v>0.97603910082549328</v>
      </c>
      <c r="AM80" s="300">
        <f t="shared" ref="AM80:AM111" si="68">IF(down_payment&lt;=0,"N/A",(SUM(Q69:Q80)-SUM(U69:U80))/down_payment)</f>
        <v>0.16331896724967249</v>
      </c>
      <c r="AN80" s="300">
        <f t="shared" ref="AN80:AN111" si="69">IF(total_initial_cost&lt;=0,"N/A",SUM(Q69:Q80)/total_initial_cost)</f>
        <v>0.11963535723342583</v>
      </c>
      <c r="AO80" s="301">
        <f>IF(leveraged_property,SUM(Q69:Q80)/SUM(U69:U80),"N/A")</f>
        <v>3.8259392455568855</v>
      </c>
      <c r="AP80" s="103"/>
      <c r="AQ80" s="149">
        <f t="shared" si="64"/>
        <v>183453.28970223045</v>
      </c>
      <c r="AR80" s="149">
        <f t="shared" ca="1" si="51"/>
        <v>24625062.254936688</v>
      </c>
      <c r="AS80" s="288">
        <f ca="1">IF(down_payment&lt;=0,"N/A",IRR(($AQ$4:AQ79,AR80),))</f>
        <v>1.7273203763979433E-2</v>
      </c>
      <c r="AT80" s="290">
        <f t="shared" ca="1" si="52"/>
        <v>0.22814956156302824</v>
      </c>
      <c r="AU80" s="288">
        <f ca="1">IF(down_payment&lt;=0,"N/A",MIRR(($AQ$4:AQ79,AR80),finance_rate,reinvestment_rate))</f>
        <v>1.6792242910964372E-2</v>
      </c>
      <c r="AV80" s="290">
        <f t="shared" ca="1" si="53"/>
        <v>0.22119970863633442</v>
      </c>
      <c r="AW80" s="103"/>
      <c r="AX80" s="152" t="str">
        <f t="shared" si="54"/>
        <v/>
      </c>
      <c r="AY80" s="296" t="str">
        <f>IF(AND(B80=$BA$4,OR(down_payment&lt;=0,purchase_date="")),"N/A",IF(B80=$BA$4,XIRR(AX$4:AX80,A$4:A80),""))</f>
        <v/>
      </c>
      <c r="BA80" s="178"/>
    </row>
    <row r="81" spans="1:53">
      <c r="A81" s="137">
        <f t="shared" si="65"/>
        <v>42505</v>
      </c>
      <c r="B81" s="138">
        <f t="shared" si="55"/>
        <v>77</v>
      </c>
      <c r="C81" s="139">
        <f>C80+(C80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1" s="139">
        <f t="shared" si="44"/>
        <v>12812.904000000002</v>
      </c>
      <c r="E81" s="140">
        <f t="shared" si="56"/>
        <v>243445.17600000001</v>
      </c>
      <c r="F81" s="141"/>
      <c r="G81" s="157">
        <f>IF(Input!$I$7="",0,IF(B81=Input!$I$7,Input!$I$6,IF(B81=Input!$I$7+12,Input!$I$6*(1+annual_incr_proptax),IF(B81=Input!$I$7+24,Input!$I$6*(1+annual_incr_proptax)^2,IF(B81=Input!$I$7+36,Input!$I$6*(1+annual_incr_proptax)^3,IF(B81=Input!$I$7+48,Input!$I$6*(1+annual_incr_proptax)^4,IF(B81=Input!$I$7+60,Input!$I$6*(1+annual_incr_proptax)^5,IF(B81=Input!$I$7+72,Input!$I$6*(1+annual_incr_proptax)^6,IF(B81=Input!$I$7+84,Input!$I$6*(1+annual_incr_proptax)^7,IF(B81=Input!$I$7+96,Input!$I$6*(1+annual_incr_proptax)^8,IF(B81=Input!$I$7+108,Input!$I$6*(1+annual_incr_proptax)^9,IF(B81=Input!$I$7+120,Input!$I$6*(1+annual_incr_proptax)^10,0))))))))))))</f>
        <v>0</v>
      </c>
      <c r="H81" s="139">
        <f>IF(Input!$I$10="",0,IF(B81=Input!$I$10,Input!$I$9,IF(B81=Input!$I$10+12,Input!$I$9*(1+annual_incr_ins),IF(B81=Input!$I$10+24,Input!$I$9*(1+annual_incr_ins)^2,IF(B81=Input!$I$10+36,Input!$I$9*(1+annual_incr_ins)^3,IF(B81=Input!$I$10+48,Input!$I$9*(1+annual_incr_ins)^4,IF(B81=Input!$I$10+60,Input!$I$9*(1+annual_incr_ins)^5,IF(B81=Input!$I$10+72,Input!$I$9*(1+annual_incr_ins)^6,IF(B81=Input!$I$10+84,Input!$I$9*(1+annual_incr_ins)^7,IF(B81=Input!$I$10+96,Input!$I$9*(1+annual_incr_ins)^8,IF(B81=Input!$I$10+108,Input!$I$9*(1+annual_incr_ins)^9,IF(B81=Input!$I$10+120,Input!$I$9*(1+annual_incr_ins)^10,0))))))))))))</f>
        <v>0</v>
      </c>
      <c r="I81" s="139">
        <f>IF(OR(Input!$I$13="",B81&lt;Input!$I$13),0,IF(AND(B81&gt;=Input!$I$13,B81&lt;Input!$I$13+12),Input!$I$12,IF(B81=Input!$I$13+12,Input!$I$12*(1+annual_incr_util),IF(B81=Input!$I$13+24,Input!$I$12*(1+annual_incr_util)^2,IF(B81=Input!$I$13+36,Input!$I$12*(1+annual_incr_util)^3,IF(B81=Input!$I$13+48,Input!$I$12*(1+annual_incr_util)^4,IF(B81=Input!$I$13+60,Input!$I$12*(1+annual_incr_util)^5,IF(B81=Input!$I$13+72,Input!$I$12*(1+annual_incr_util)^6,IF(B81=Input!$I$13+84,Input!$I$12*(1+annual_incr_util)^7,IF(B81=Input!$I$13+96,Input!$I$12*(1+annual_incr_util)^8,IF(B81=Input!$I$13+108,Input!$I$12*(1+annual_incr_util)^9,IF(B81=Input!$I$13+120,Input!$I$12*(1+annual_incr_util)^10,I80))))))))))))</f>
        <v>545.19626978723227</v>
      </c>
      <c r="J81" s="139">
        <f>IF(Input!$I$16="",0,IF(B81=Input!$I$16,Input!$I$15,IF(B81=Input!$I$16+12,Input!$I$15*(1+annual_incr_advtg),IF(B81=Input!$I$16+24,Input!$I$15*(1+annual_incr_advtg)^2,IF(B81=Input!$I$16+36,Input!$I$15*(1+annual_incr_advtg)^3,IF(B81=Input!$I$16+48,Input!$I$15*(1+annual_incr_advtg)^4,IF(B81=Input!$I$16+60,Input!$I$15*(1+annual_incr_advtg)^5,IF(B81=Input!$I$16+72,Input!$I$15*(1+annual_incr_advtg)^6,IF(B81=Input!$I$16+84,Input!$I$15*(1+annual_incr_advtg)^7,IF(B81=Input!$I$16+96,Input!$I$15*(1+annual_incr_advtg)^8,IF(B81=Input!$I$16+108,Input!$I$15*(1+annual_incr_advtg)^9,IF(B81=Input!$I$16+120,Input!$I$15*(1+annual_incr_advtg)^10,0))))))))))))</f>
        <v>0</v>
      </c>
      <c r="K81" s="139">
        <f>IF(Input!$I$19="",0,IF(B81=Input!$I$19,Input!$I$18,IF(B81=Input!$I$19+12,Input!$I$18*(1+annual_incr_other1),IF(B81=Input!$I$19+24,Input!$I$18*(1+annual_incr_other1)^2,IF(B81=Input!$I$19+36,Input!$I$18*(1+annual_incr_other1)^3,IF(B81=Input!$I$19+48,Input!$I$18*(1+annual_incr_other1)^4,IF(B81=Input!$I$19+60,Input!$I$18*(1+annual_incr_other1)^5,IF(B81=Input!$I$19+72,Input!$I$18*(1+annual_incr_other1)^6,IF(B81=Input!$I$19+84,Input!$I$18*(1+annual_incr_other1)^7,IF(B81=Input!$I$19+96,Input!$I$18*(1+annual_incr_other1)^8,IF(B81=Input!$I$19+108,Input!$I$18*(1+annual_incr_other1)^9,IF(B81=Input!$I$19+120,Input!$I$18*(1+annual_incr_other1)^10,0))))))))))))</f>
        <v>5693.9355832320016</v>
      </c>
      <c r="L81" s="156">
        <f>IF(OR(Input!$I$22="",B81&lt;Input!$I$22),0,IF(AND(B81&gt;=Input!$I$22,B81&lt;Input!$I$22+12),Input!$I$21,IF(B81=Input!$I$22+12,Input!$I$21*(1+annual_incr_other2),IF(B81=Input!$I$22+24,Input!$I$21*(1+annual_incr_other2)^2,IF(B81=Input!$I$22+36,Input!$I$21*(1+annual_incr_other2)^3,IF(B81=Input!$I$22+48,Input!$I$21*(1+annual_incr_other2)^4,IF(B81=Input!$I$22+60,Input!$I$21*(1+annual_incr_other2)^5,IF(B81=Input!$I$22+72,Input!$I$21*(1+annual_incr_other2)^6,IF(B81=Input!$I$22+84,Input!$I$21*(1+annual_incr_other2)^7,IF(B81=Input!$I$22+96,Input!$I$21*(1+annual_incr_other2)^8,IF(B81=Input!$I$22+108,Input!$I$21*(1+annual_incr_other2)^9,IF(B81=Input!$I$22+120,Input!$I$21*(1+annual_incr_other2)^10,L80))))))))))))</f>
        <v>637.8313800170896</v>
      </c>
      <c r="M81" s="139">
        <f>IF(OR(Input!$I$27="",B81&lt;Input!$I$27),0,E81*mgmt_fee)</f>
        <v>2191.0065839999997</v>
      </c>
      <c r="N81" s="139">
        <f>IF(OR(Input!$I$29="",B81&lt;Input!$I$29),0,E81*repairs_maint)</f>
        <v>2677.8969360000001</v>
      </c>
      <c r="O81" s="149">
        <f>IF(Input!$I$31="",0,IF(OR(B81=Input!$I$31,B81=Input!$I$31+12,B81=Input!$I$31+24,B81=Input!$I$31+36,B81=Input!$I$31+48,B81=Input!$I$31+60,B81=Input!$I$31+72,B81=Input!$I$31+84,B81=Input!$I$31+96,B81=Input!$I$31+108,B81=Input!$I$31+120),E81*other_3,0))</f>
        <v>0</v>
      </c>
      <c r="P81" s="158">
        <f t="shared" si="57"/>
        <v>11745.866753036324</v>
      </c>
      <c r="Q81" s="159">
        <f t="shared" si="58"/>
        <v>231699.30924696368</v>
      </c>
      <c r="R81" s="160"/>
      <c r="S81" s="161">
        <f>IF(AND(leveraged_property,B81&lt;=amort_period),-IPMT(interest_rate/12,B81,amort_period,loan_amount),0)</f>
        <v>39220.373044846252</v>
      </c>
      <c r="T81" s="149">
        <f t="shared" si="59"/>
        <v>14719.582083118978</v>
      </c>
      <c r="U81" s="149">
        <f>IF(AND(leveraged_property,B81&lt;=amort_period),-PMT(interest_rate/12,amort_period,loan_amount),0)</f>
        <v>53939.95512796523</v>
      </c>
      <c r="V81" s="149">
        <f t="shared" si="60"/>
        <v>8542452.7186106071</v>
      </c>
      <c r="W81" s="160"/>
      <c r="X81" s="149">
        <f t="shared" si="61"/>
        <v>115583.24900390624</v>
      </c>
      <c r="Y81" s="162">
        <f t="shared" si="62"/>
        <v>27185180.165718779</v>
      </c>
      <c r="Z81" s="156">
        <f t="shared" si="45"/>
        <v>32995644.200889006</v>
      </c>
      <c r="AA81" s="163">
        <f t="shared" ca="1" si="46"/>
        <v>32995644.200889006</v>
      </c>
      <c r="AB81" s="160"/>
      <c r="AC81" s="164">
        <f>Input!$C$25/12</f>
        <v>26538.461538461535</v>
      </c>
      <c r="AD81" s="139">
        <f t="shared" si="47"/>
        <v>165940.47466365588</v>
      </c>
      <c r="AE81" s="149">
        <f t="shared" si="48"/>
        <v>49782.142399096767</v>
      </c>
      <c r="AF81" s="139">
        <f ca="1">IF(AA81=0,0,AA81-(total_initial_cost-SUM($AC$5:AC81)))</f>
        <v>14339105.739350542</v>
      </c>
      <c r="AG81" s="139">
        <f t="shared" ca="1" si="49"/>
        <v>2867821.1478701085</v>
      </c>
      <c r="AH81" s="149">
        <f t="shared" ca="1" si="63"/>
        <v>30127823.053018898</v>
      </c>
      <c r="AI81" s="103"/>
      <c r="AJ81" s="165">
        <f t="shared" ca="1" si="50"/>
        <v>9427823.0530188978</v>
      </c>
      <c r="AK81" s="165">
        <f t="shared" ca="1" si="66"/>
        <v>10948460.009822834</v>
      </c>
      <c r="AL81" s="300">
        <f t="shared" ca="1" si="67"/>
        <v>0.97754107230561016</v>
      </c>
      <c r="AM81" s="300">
        <f t="shared" si="68"/>
        <v>0.16639157554904543</v>
      </c>
      <c r="AN81" s="300">
        <f t="shared" si="69"/>
        <v>0.1212978312891252</v>
      </c>
      <c r="AO81" s="301">
        <f>IF(leveraged_property,SUM(Q70:Q81)/SUM(U70:U81),"N/A")</f>
        <v>3.8791051731012822</v>
      </c>
      <c r="AP81" s="103"/>
      <c r="AQ81" s="149">
        <f t="shared" si="64"/>
        <v>177759.35411899845</v>
      </c>
      <c r="AR81" s="149">
        <f t="shared" ca="1" si="51"/>
        <v>24630950.836397398</v>
      </c>
      <c r="AS81" s="288">
        <f ca="1">IF(down_payment&lt;=0,"N/A",IRR(($AQ$4:AQ80,AR81),))</f>
        <v>1.7178348333918323E-2</v>
      </c>
      <c r="AT81" s="290">
        <f t="shared" ca="1" si="52"/>
        <v>0.22677604347852243</v>
      </c>
      <c r="AU81" s="288">
        <f ca="1">IF(down_payment&lt;=0,"N/A",MIRR(($AQ$4:AQ80,AR81),finance_rate,reinvestment_rate))</f>
        <v>1.6710735333591797E-2</v>
      </c>
      <c r="AV81" s="290">
        <f t="shared" ca="1" si="53"/>
        <v>0.22002550821388778</v>
      </c>
      <c r="AW81" s="103"/>
      <c r="AX81" s="152" t="str">
        <f t="shared" si="54"/>
        <v/>
      </c>
      <c r="AY81" s="296" t="str">
        <f>IF(AND(B81=$BA$4,OR(down_payment&lt;=0,purchase_date="")),"N/A",IF(B81=$BA$4,XIRR(AX$4:AX81,A$4:A81),""))</f>
        <v/>
      </c>
      <c r="BA81" s="178"/>
    </row>
    <row r="82" spans="1:53">
      <c r="A82" s="137">
        <f t="shared" si="65"/>
        <v>42536</v>
      </c>
      <c r="B82" s="138">
        <f t="shared" si="55"/>
        <v>78</v>
      </c>
      <c r="C82" s="139">
        <f>C81+(C81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2" s="139">
        <f t="shared" si="44"/>
        <v>12812.904000000002</v>
      </c>
      <c r="E82" s="140">
        <f t="shared" si="56"/>
        <v>243445.17600000001</v>
      </c>
      <c r="F82" s="141"/>
      <c r="G82" s="157">
        <f>IF(Input!$I$7="",0,IF(B82=Input!$I$7,Input!$I$6,IF(B82=Input!$I$7+12,Input!$I$6*(1+annual_incr_proptax),IF(B82=Input!$I$7+24,Input!$I$6*(1+annual_incr_proptax)^2,IF(B82=Input!$I$7+36,Input!$I$6*(1+annual_incr_proptax)^3,IF(B82=Input!$I$7+48,Input!$I$6*(1+annual_incr_proptax)^4,IF(B82=Input!$I$7+60,Input!$I$6*(1+annual_incr_proptax)^5,IF(B82=Input!$I$7+72,Input!$I$6*(1+annual_incr_proptax)^6,IF(B82=Input!$I$7+84,Input!$I$6*(1+annual_incr_proptax)^7,IF(B82=Input!$I$7+96,Input!$I$6*(1+annual_incr_proptax)^8,IF(B82=Input!$I$7+108,Input!$I$6*(1+annual_incr_proptax)^9,IF(B82=Input!$I$7+120,Input!$I$6*(1+annual_incr_proptax)^10,0))))))))))))</f>
        <v>0</v>
      </c>
      <c r="H82" s="139">
        <f>IF(Input!$I$10="",0,IF(B82=Input!$I$10,Input!$I$9,IF(B82=Input!$I$10+12,Input!$I$9*(1+annual_incr_ins),IF(B82=Input!$I$10+24,Input!$I$9*(1+annual_incr_ins)^2,IF(B82=Input!$I$10+36,Input!$I$9*(1+annual_incr_ins)^3,IF(B82=Input!$I$10+48,Input!$I$9*(1+annual_incr_ins)^4,IF(B82=Input!$I$10+60,Input!$I$9*(1+annual_incr_ins)^5,IF(B82=Input!$I$10+72,Input!$I$9*(1+annual_incr_ins)^6,IF(B82=Input!$I$10+84,Input!$I$9*(1+annual_incr_ins)^7,IF(B82=Input!$I$10+96,Input!$I$9*(1+annual_incr_ins)^8,IF(B82=Input!$I$10+108,Input!$I$9*(1+annual_incr_ins)^9,IF(B82=Input!$I$10+120,Input!$I$9*(1+annual_incr_ins)^10,0))))))))))))</f>
        <v>14121.220332111219</v>
      </c>
      <c r="I82" s="139">
        <f>IF(OR(Input!$I$13="",B82&lt;Input!$I$13),0,IF(AND(B82&gt;=Input!$I$13,B82&lt;Input!$I$13+12),Input!$I$12,IF(B82=Input!$I$13+12,Input!$I$12*(1+annual_incr_util),IF(B82=Input!$I$13+24,Input!$I$12*(1+annual_incr_util)^2,IF(B82=Input!$I$13+36,Input!$I$12*(1+annual_incr_util)^3,IF(B82=Input!$I$13+48,Input!$I$12*(1+annual_incr_util)^4,IF(B82=Input!$I$13+60,Input!$I$12*(1+annual_incr_util)^5,IF(B82=Input!$I$13+72,Input!$I$12*(1+annual_incr_util)^6,IF(B82=Input!$I$13+84,Input!$I$12*(1+annual_incr_util)^7,IF(B82=Input!$I$13+96,Input!$I$12*(1+annual_incr_util)^8,IF(B82=Input!$I$13+108,Input!$I$12*(1+annual_incr_util)^9,IF(B82=Input!$I$13+120,Input!$I$12*(1+annual_incr_util)^10,I81))))))))))))</f>
        <v>545.19626978723227</v>
      </c>
      <c r="J82" s="139">
        <f>IF(Input!$I$16="",0,IF(B82=Input!$I$16,Input!$I$15,IF(B82=Input!$I$16+12,Input!$I$15*(1+annual_incr_advtg),IF(B82=Input!$I$16+24,Input!$I$15*(1+annual_incr_advtg)^2,IF(B82=Input!$I$16+36,Input!$I$15*(1+annual_incr_advtg)^3,IF(B82=Input!$I$16+48,Input!$I$15*(1+annual_incr_advtg)^4,IF(B82=Input!$I$16+60,Input!$I$15*(1+annual_incr_advtg)^5,IF(B82=Input!$I$16+72,Input!$I$15*(1+annual_incr_advtg)^6,IF(B82=Input!$I$16+84,Input!$I$15*(1+annual_incr_advtg)^7,IF(B82=Input!$I$16+96,Input!$I$15*(1+annual_incr_advtg)^8,IF(B82=Input!$I$16+108,Input!$I$15*(1+annual_incr_advtg)^9,IF(B82=Input!$I$16+120,Input!$I$15*(1+annual_incr_advtg)^10,0))))))))))))</f>
        <v>0</v>
      </c>
      <c r="K82" s="139">
        <f>IF(Input!$I$19="",0,IF(B82=Input!$I$19,Input!$I$18,IF(B82=Input!$I$19+12,Input!$I$18*(1+annual_incr_other1),IF(B82=Input!$I$19+24,Input!$I$18*(1+annual_incr_other1)^2,IF(B82=Input!$I$19+36,Input!$I$18*(1+annual_incr_other1)^3,IF(B82=Input!$I$19+48,Input!$I$18*(1+annual_incr_other1)^4,IF(B82=Input!$I$19+60,Input!$I$18*(1+annual_incr_other1)^5,IF(B82=Input!$I$19+72,Input!$I$18*(1+annual_incr_other1)^6,IF(B82=Input!$I$19+84,Input!$I$18*(1+annual_incr_other1)^7,IF(B82=Input!$I$19+96,Input!$I$18*(1+annual_incr_other1)^8,IF(B82=Input!$I$19+108,Input!$I$18*(1+annual_incr_other1)^9,IF(B82=Input!$I$19+120,Input!$I$18*(1+annual_incr_other1)^10,0))))))))))))</f>
        <v>0</v>
      </c>
      <c r="L82" s="156">
        <f>IF(OR(Input!$I$22="",B82&lt;Input!$I$22),0,IF(AND(B82&gt;=Input!$I$22,B82&lt;Input!$I$22+12),Input!$I$21,IF(B82=Input!$I$22+12,Input!$I$21*(1+annual_incr_other2),IF(B82=Input!$I$22+24,Input!$I$21*(1+annual_incr_other2)^2,IF(B82=Input!$I$22+36,Input!$I$21*(1+annual_incr_other2)^3,IF(B82=Input!$I$22+48,Input!$I$21*(1+annual_incr_other2)^4,IF(B82=Input!$I$22+60,Input!$I$21*(1+annual_incr_other2)^5,IF(B82=Input!$I$22+72,Input!$I$21*(1+annual_incr_other2)^6,IF(B82=Input!$I$22+84,Input!$I$21*(1+annual_incr_other2)^7,IF(B82=Input!$I$22+96,Input!$I$21*(1+annual_incr_other2)^8,IF(B82=Input!$I$22+108,Input!$I$21*(1+annual_incr_other2)^9,IF(B82=Input!$I$22+120,Input!$I$21*(1+annual_incr_other2)^10,L81))))))))))))</f>
        <v>637.8313800170896</v>
      </c>
      <c r="M82" s="139">
        <f>IF(OR(Input!$I$27="",B82&lt;Input!$I$27),0,E82*mgmt_fee)</f>
        <v>2191.0065839999997</v>
      </c>
      <c r="N82" s="139">
        <f>IF(OR(Input!$I$29="",B82&lt;Input!$I$29),0,E82*repairs_maint)</f>
        <v>2677.8969360000001</v>
      </c>
      <c r="O82" s="149">
        <f>IF(Input!$I$31="",0,IF(OR(B82=Input!$I$31,B82=Input!$I$31+12,B82=Input!$I$31+24,B82=Input!$I$31+36,B82=Input!$I$31+48,B82=Input!$I$31+60,B82=Input!$I$31+72,B82=Input!$I$31+84,B82=Input!$I$31+96,B82=Input!$I$31+108,B82=Input!$I$31+120),E82*other_3,0))</f>
        <v>0</v>
      </c>
      <c r="P82" s="158">
        <f t="shared" si="57"/>
        <v>20173.151501915541</v>
      </c>
      <c r="Q82" s="159">
        <f t="shared" si="58"/>
        <v>223272.02449808447</v>
      </c>
      <c r="R82" s="160"/>
      <c r="S82" s="161">
        <f>IF(AND(leveraged_property,B82&lt;=amort_period),-IPMT(interest_rate/12,B82,amort_period,loan_amount),0)</f>
        <v>39152.908293631946</v>
      </c>
      <c r="T82" s="149">
        <f t="shared" si="59"/>
        <v>14787.046834333283</v>
      </c>
      <c r="U82" s="149">
        <f>IF(AND(leveraged_property,B82&lt;=amort_period),-PMT(interest_rate/12,amort_period,loan_amount),0)</f>
        <v>53939.95512796523</v>
      </c>
      <c r="V82" s="149">
        <f t="shared" si="60"/>
        <v>8527665.6717762742</v>
      </c>
      <c r="W82" s="160"/>
      <c r="X82" s="149">
        <f t="shared" si="61"/>
        <v>115583.24900390624</v>
      </c>
      <c r="Y82" s="162">
        <f t="shared" si="62"/>
        <v>27296140.084762529</v>
      </c>
      <c r="Z82" s="156">
        <f t="shared" si="45"/>
        <v>32990580.222220179</v>
      </c>
      <c r="AA82" s="163">
        <f t="shared" ca="1" si="46"/>
        <v>32990580.222220179</v>
      </c>
      <c r="AB82" s="160"/>
      <c r="AC82" s="164">
        <f>Input!$C$25/12</f>
        <v>26538.461538461535</v>
      </c>
      <c r="AD82" s="139">
        <f t="shared" si="47"/>
        <v>157580.65466599099</v>
      </c>
      <c r="AE82" s="149">
        <f t="shared" si="48"/>
        <v>47274.1963997973</v>
      </c>
      <c r="AF82" s="139">
        <f ca="1">IF(AA82=0,0,AA82-(total_initial_cost-SUM($AC$5:AC82)))</f>
        <v>14360580.222220179</v>
      </c>
      <c r="AG82" s="139">
        <f t="shared" ca="1" si="49"/>
        <v>2872116.0444440357</v>
      </c>
      <c r="AH82" s="149">
        <f t="shared" ca="1" si="63"/>
        <v>30118464.177776143</v>
      </c>
      <c r="AI82" s="103"/>
      <c r="AJ82" s="165">
        <f t="shared" ca="1" si="50"/>
        <v>9418464.177776143</v>
      </c>
      <c r="AK82" s="165">
        <f t="shared" ca="1" si="66"/>
        <v>10963631.821258962</v>
      </c>
      <c r="AL82" s="300">
        <f t="shared" ca="1" si="67"/>
        <v>0.9788956983266931</v>
      </c>
      <c r="AM82" s="300">
        <f t="shared" si="68"/>
        <v>0.16944999253760554</v>
      </c>
      <c r="AN82" s="300">
        <f t="shared" si="69"/>
        <v>0.12295262695443308</v>
      </c>
      <c r="AO82" s="301">
        <f>IF(leveraged_property,SUM(Q71:Q82)/SUM(U71:U82),"N/A")</f>
        <v>3.9320255456875057</v>
      </c>
      <c r="AP82" s="103"/>
      <c r="AQ82" s="149">
        <f t="shared" si="64"/>
        <v>169332.06937011925</v>
      </c>
      <c r="AR82" s="149">
        <f t="shared" ca="1" si="51"/>
        <v>24632246.619814023</v>
      </c>
      <c r="AS82" s="288">
        <f ca="1">IF(down_payment&lt;=0,"N/A",IRR(($AQ$4:AQ81,AR82),))</f>
        <v>1.7082011792590973E-2</v>
      </c>
      <c r="AT82" s="290">
        <f t="shared" ca="1" si="52"/>
        <v>0.22538252008784765</v>
      </c>
      <c r="AU82" s="288">
        <f ca="1">IF(down_payment&lt;=0,"N/A",MIRR(($AQ$4:AQ81,AR82),finance_rate,reinvestment_rate))</f>
        <v>1.6628561639448369E-2</v>
      </c>
      <c r="AV82" s="290">
        <f t="shared" ca="1" si="53"/>
        <v>0.21884275942359777</v>
      </c>
      <c r="AW82" s="103"/>
      <c r="AX82" s="152" t="str">
        <f t="shared" si="54"/>
        <v/>
      </c>
      <c r="AY82" s="296" t="str">
        <f>IF(AND(B82=$BA$4,OR(down_payment&lt;=0,purchase_date="")),"N/A",IF(B82=$BA$4,XIRR(AX$4:AX82,A$4:A82),""))</f>
        <v/>
      </c>
      <c r="BA82" s="178"/>
    </row>
    <row r="83" spans="1:53">
      <c r="A83" s="137">
        <f t="shared" si="65"/>
        <v>42566</v>
      </c>
      <c r="B83" s="138">
        <f t="shared" si="55"/>
        <v>79</v>
      </c>
      <c r="C83" s="139">
        <f>C82+(C82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3" s="139">
        <f t="shared" si="44"/>
        <v>12812.904000000002</v>
      </c>
      <c r="E83" s="140">
        <f t="shared" si="56"/>
        <v>243445.17600000001</v>
      </c>
      <c r="F83" s="141"/>
      <c r="G83" s="157">
        <f>IF(Input!$I$7="",0,IF(B83=Input!$I$7,Input!$I$6,IF(B83=Input!$I$7+12,Input!$I$6*(1+annual_incr_proptax),IF(B83=Input!$I$7+24,Input!$I$6*(1+annual_incr_proptax)^2,IF(B83=Input!$I$7+36,Input!$I$6*(1+annual_incr_proptax)^3,IF(B83=Input!$I$7+48,Input!$I$6*(1+annual_incr_proptax)^4,IF(B83=Input!$I$7+60,Input!$I$6*(1+annual_incr_proptax)^5,IF(B83=Input!$I$7+72,Input!$I$6*(1+annual_incr_proptax)^6,IF(B83=Input!$I$7+84,Input!$I$6*(1+annual_incr_proptax)^7,IF(B83=Input!$I$7+96,Input!$I$6*(1+annual_incr_proptax)^8,IF(B83=Input!$I$7+108,Input!$I$6*(1+annual_incr_proptax)^9,IF(B83=Input!$I$7+120,Input!$I$6*(1+annual_incr_proptax)^10,0))))))))))))</f>
        <v>0</v>
      </c>
      <c r="H83" s="139">
        <f>IF(Input!$I$10="",0,IF(B83=Input!$I$10,Input!$I$9,IF(B83=Input!$I$10+12,Input!$I$9*(1+annual_incr_ins),IF(B83=Input!$I$10+24,Input!$I$9*(1+annual_incr_ins)^2,IF(B83=Input!$I$10+36,Input!$I$9*(1+annual_incr_ins)^3,IF(B83=Input!$I$10+48,Input!$I$9*(1+annual_incr_ins)^4,IF(B83=Input!$I$10+60,Input!$I$9*(1+annual_incr_ins)^5,IF(B83=Input!$I$10+72,Input!$I$9*(1+annual_incr_ins)^6,IF(B83=Input!$I$10+84,Input!$I$9*(1+annual_incr_ins)^7,IF(B83=Input!$I$10+96,Input!$I$9*(1+annual_incr_ins)^8,IF(B83=Input!$I$10+108,Input!$I$9*(1+annual_incr_ins)^9,IF(B83=Input!$I$10+120,Input!$I$9*(1+annual_incr_ins)^10,0))))))))))))</f>
        <v>0</v>
      </c>
      <c r="I83" s="139">
        <f>IF(OR(Input!$I$13="",B83&lt;Input!$I$13),0,IF(AND(B83&gt;=Input!$I$13,B83&lt;Input!$I$13+12),Input!$I$12,IF(B83=Input!$I$13+12,Input!$I$12*(1+annual_incr_util),IF(B83=Input!$I$13+24,Input!$I$12*(1+annual_incr_util)^2,IF(B83=Input!$I$13+36,Input!$I$12*(1+annual_incr_util)^3,IF(B83=Input!$I$13+48,Input!$I$12*(1+annual_incr_util)^4,IF(B83=Input!$I$13+60,Input!$I$12*(1+annual_incr_util)^5,IF(B83=Input!$I$13+72,Input!$I$12*(1+annual_incr_util)^6,IF(B83=Input!$I$13+84,Input!$I$12*(1+annual_incr_util)^7,IF(B83=Input!$I$13+96,Input!$I$12*(1+annual_incr_util)^8,IF(B83=Input!$I$13+108,Input!$I$12*(1+annual_incr_util)^9,IF(B83=Input!$I$13+120,Input!$I$12*(1+annual_incr_util)^10,I82))))))))))))</f>
        <v>545.19626978723227</v>
      </c>
      <c r="J83" s="139">
        <f>IF(Input!$I$16="",0,IF(B83=Input!$I$16,Input!$I$15,IF(B83=Input!$I$16+12,Input!$I$15*(1+annual_incr_advtg),IF(B83=Input!$I$16+24,Input!$I$15*(1+annual_incr_advtg)^2,IF(B83=Input!$I$16+36,Input!$I$15*(1+annual_incr_advtg)^3,IF(B83=Input!$I$16+48,Input!$I$15*(1+annual_incr_advtg)^4,IF(B83=Input!$I$16+60,Input!$I$15*(1+annual_incr_advtg)^5,IF(B83=Input!$I$16+72,Input!$I$15*(1+annual_incr_advtg)^6,IF(B83=Input!$I$16+84,Input!$I$15*(1+annual_incr_advtg)^7,IF(B83=Input!$I$16+96,Input!$I$15*(1+annual_incr_advtg)^8,IF(B83=Input!$I$16+108,Input!$I$15*(1+annual_incr_advtg)^9,IF(B83=Input!$I$16+120,Input!$I$15*(1+annual_incr_advtg)^10,0))))))))))))</f>
        <v>16010.617600058134</v>
      </c>
      <c r="K83" s="139">
        <f>IF(Input!$I$19="",0,IF(B83=Input!$I$19,Input!$I$18,IF(B83=Input!$I$19+12,Input!$I$18*(1+annual_incr_other1),IF(B83=Input!$I$19+24,Input!$I$18*(1+annual_incr_other1)^2,IF(B83=Input!$I$19+36,Input!$I$18*(1+annual_incr_other1)^3,IF(B83=Input!$I$19+48,Input!$I$18*(1+annual_incr_other1)^4,IF(B83=Input!$I$19+60,Input!$I$18*(1+annual_incr_other1)^5,IF(B83=Input!$I$19+72,Input!$I$18*(1+annual_incr_other1)^6,IF(B83=Input!$I$19+84,Input!$I$18*(1+annual_incr_other1)^7,IF(B83=Input!$I$19+96,Input!$I$18*(1+annual_incr_other1)^8,IF(B83=Input!$I$19+108,Input!$I$18*(1+annual_incr_other1)^9,IF(B83=Input!$I$19+120,Input!$I$18*(1+annual_incr_other1)^10,0))))))))))))</f>
        <v>0</v>
      </c>
      <c r="L83" s="156">
        <f>IF(OR(Input!$I$22="",B83&lt;Input!$I$22),0,IF(AND(B83&gt;=Input!$I$22,B83&lt;Input!$I$22+12),Input!$I$21,IF(B83=Input!$I$22+12,Input!$I$21*(1+annual_incr_other2),IF(B83=Input!$I$22+24,Input!$I$21*(1+annual_incr_other2)^2,IF(B83=Input!$I$22+36,Input!$I$21*(1+annual_incr_other2)^3,IF(B83=Input!$I$22+48,Input!$I$21*(1+annual_incr_other2)^4,IF(B83=Input!$I$22+60,Input!$I$21*(1+annual_incr_other2)^5,IF(B83=Input!$I$22+72,Input!$I$21*(1+annual_incr_other2)^6,IF(B83=Input!$I$22+84,Input!$I$21*(1+annual_incr_other2)^7,IF(B83=Input!$I$22+96,Input!$I$21*(1+annual_incr_other2)^8,IF(B83=Input!$I$22+108,Input!$I$21*(1+annual_incr_other2)^9,IF(B83=Input!$I$22+120,Input!$I$21*(1+annual_incr_other2)^10,L82))))))))))))</f>
        <v>637.8313800170896</v>
      </c>
      <c r="M83" s="139">
        <f>IF(OR(Input!$I$27="",B83&lt;Input!$I$27),0,E83*mgmt_fee)</f>
        <v>2191.0065839999997</v>
      </c>
      <c r="N83" s="139">
        <f>IF(OR(Input!$I$29="",B83&lt;Input!$I$29),0,E83*repairs_maint)</f>
        <v>2677.8969360000001</v>
      </c>
      <c r="O83" s="149">
        <f>IF(Input!$I$31="",0,IF(OR(B83=Input!$I$31,B83=Input!$I$31+12,B83=Input!$I$31+24,B83=Input!$I$31+36,B83=Input!$I$31+48,B83=Input!$I$31+60,B83=Input!$I$31+72,B83=Input!$I$31+84,B83=Input!$I$31+96,B83=Input!$I$31+108,B83=Input!$I$31+120),E83*other_3,0))</f>
        <v>0</v>
      </c>
      <c r="P83" s="158">
        <f t="shared" si="57"/>
        <v>22062.548769862457</v>
      </c>
      <c r="Q83" s="159">
        <f t="shared" si="58"/>
        <v>221382.62723013756</v>
      </c>
      <c r="R83" s="160"/>
      <c r="S83" s="161">
        <f>IF(AND(leveraged_property,B83&lt;=amort_period),-IPMT(interest_rate/12,B83,amort_period,loan_amount),0)</f>
        <v>39085.1343289746</v>
      </c>
      <c r="T83" s="149">
        <f t="shared" si="59"/>
        <v>14854.82079899063</v>
      </c>
      <c r="U83" s="149">
        <f>IF(AND(leveraged_property,B83&lt;=amort_period),-PMT(interest_rate/12,amort_period,loan_amount),0)</f>
        <v>53939.95512796523</v>
      </c>
      <c r="V83" s="149">
        <f t="shared" si="60"/>
        <v>8512810.850977283</v>
      </c>
      <c r="W83" s="160"/>
      <c r="X83" s="149">
        <f t="shared" si="61"/>
        <v>115583.24900390624</v>
      </c>
      <c r="Y83" s="162">
        <f t="shared" si="62"/>
        <v>27407100.003806278</v>
      </c>
      <c r="Z83" s="156">
        <f t="shared" si="45"/>
        <v>32979282.622045875</v>
      </c>
      <c r="AA83" s="163">
        <f t="shared" ca="1" si="46"/>
        <v>32979282.622045875</v>
      </c>
      <c r="AB83" s="160"/>
      <c r="AC83" s="164">
        <f>Input!$C$25/12</f>
        <v>26538.461538461535</v>
      </c>
      <c r="AD83" s="139">
        <f t="shared" si="47"/>
        <v>155759.03136270141</v>
      </c>
      <c r="AE83" s="149">
        <f t="shared" si="48"/>
        <v>46727.70940881042</v>
      </c>
      <c r="AF83" s="139">
        <f ca="1">IF(AA83=0,0,AA83-(total_initial_cost-SUM($AC$5:AC83)))</f>
        <v>14375821.083584335</v>
      </c>
      <c r="AG83" s="139">
        <f t="shared" ca="1" si="49"/>
        <v>2875164.2167168669</v>
      </c>
      <c r="AH83" s="149">
        <f t="shared" ca="1" si="63"/>
        <v>30104118.405329008</v>
      </c>
      <c r="AI83" s="103"/>
      <c r="AJ83" s="165">
        <f t="shared" ca="1" si="50"/>
        <v>9404118.4053290077</v>
      </c>
      <c r="AK83" s="165">
        <f t="shared" ca="1" si="66"/>
        <v>10973482.462760217</v>
      </c>
      <c r="AL83" s="300">
        <f t="shared" ca="1" si="67"/>
        <v>0.97977521988930516</v>
      </c>
      <c r="AM83" s="300">
        <f t="shared" si="68"/>
        <v>0.17246544958645718</v>
      </c>
      <c r="AN83" s="300">
        <f t="shared" si="69"/>
        <v>0.12458417859439147</v>
      </c>
      <c r="AO83" s="301">
        <f>IF(leveraged_property,SUM(Q72:Q83)/SUM(U72:U83),"N/A")</f>
        <v>3.9842025742417819</v>
      </c>
      <c r="AP83" s="103"/>
      <c r="AQ83" s="149">
        <f t="shared" si="64"/>
        <v>167442.67210217234</v>
      </c>
      <c r="AR83" s="149">
        <f t="shared" ca="1" si="51"/>
        <v>24633914.443170764</v>
      </c>
      <c r="AS83" s="288">
        <f ca="1">IF(down_payment&lt;=0,"N/A",IRR(($AQ$4:AQ82,AR83),))</f>
        <v>1.6985140626807685E-2</v>
      </c>
      <c r="AT83" s="290">
        <f t="shared" ca="1" si="52"/>
        <v>0.22398272653078011</v>
      </c>
      <c r="AU83" s="288">
        <f ca="1">IF(down_payment&lt;=0,"N/A",MIRR(($AQ$4:AQ82,AR83),finance_rate,reinvestment_rate))</f>
        <v>1.6546506773379432E-2</v>
      </c>
      <c r="AV83" s="290">
        <f t="shared" ca="1" si="53"/>
        <v>0.21766276982528154</v>
      </c>
      <c r="AW83" s="103"/>
      <c r="AX83" s="152" t="str">
        <f t="shared" si="54"/>
        <v/>
      </c>
      <c r="AY83" s="296" t="str">
        <f>IF(AND(B83=$BA$4,OR(down_payment&lt;=0,purchase_date="")),"N/A",IF(B83=$BA$4,XIRR(AX$4:AX83,A$4:A83),""))</f>
        <v/>
      </c>
      <c r="BA83" s="178"/>
    </row>
    <row r="84" spans="1:53">
      <c r="A84" s="137">
        <f t="shared" si="65"/>
        <v>42597</v>
      </c>
      <c r="B84" s="138">
        <f t="shared" si="55"/>
        <v>80</v>
      </c>
      <c r="C84" s="139">
        <f>C83+(C83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4" s="139">
        <f t="shared" si="44"/>
        <v>12812.904000000002</v>
      </c>
      <c r="E84" s="140">
        <f t="shared" si="56"/>
        <v>243445.17600000001</v>
      </c>
      <c r="F84" s="141"/>
      <c r="G84" s="157">
        <f>IF(Input!$I$7="",0,IF(B84=Input!$I$7,Input!$I$6,IF(B84=Input!$I$7+12,Input!$I$6*(1+annual_incr_proptax),IF(B84=Input!$I$7+24,Input!$I$6*(1+annual_incr_proptax)^2,IF(B84=Input!$I$7+36,Input!$I$6*(1+annual_incr_proptax)^3,IF(B84=Input!$I$7+48,Input!$I$6*(1+annual_incr_proptax)^4,IF(B84=Input!$I$7+60,Input!$I$6*(1+annual_incr_proptax)^5,IF(B84=Input!$I$7+72,Input!$I$6*(1+annual_incr_proptax)^6,IF(B84=Input!$I$7+84,Input!$I$6*(1+annual_incr_proptax)^7,IF(B84=Input!$I$7+96,Input!$I$6*(1+annual_incr_proptax)^8,IF(B84=Input!$I$7+108,Input!$I$6*(1+annual_incr_proptax)^9,IF(B84=Input!$I$7+120,Input!$I$6*(1+annual_incr_proptax)^10,0))))))))))))</f>
        <v>0</v>
      </c>
      <c r="H84" s="139">
        <f>IF(Input!$I$10="",0,IF(B84=Input!$I$10,Input!$I$9,IF(B84=Input!$I$10+12,Input!$I$9*(1+annual_incr_ins),IF(B84=Input!$I$10+24,Input!$I$9*(1+annual_incr_ins)^2,IF(B84=Input!$I$10+36,Input!$I$9*(1+annual_incr_ins)^3,IF(B84=Input!$I$10+48,Input!$I$9*(1+annual_incr_ins)^4,IF(B84=Input!$I$10+60,Input!$I$9*(1+annual_incr_ins)^5,IF(B84=Input!$I$10+72,Input!$I$9*(1+annual_incr_ins)^6,IF(B84=Input!$I$10+84,Input!$I$9*(1+annual_incr_ins)^7,IF(B84=Input!$I$10+96,Input!$I$9*(1+annual_incr_ins)^8,IF(B84=Input!$I$10+108,Input!$I$9*(1+annual_incr_ins)^9,IF(B84=Input!$I$10+120,Input!$I$9*(1+annual_incr_ins)^10,0))))))))))))</f>
        <v>0</v>
      </c>
      <c r="I84" s="139">
        <f>IF(OR(Input!$I$13="",B84&lt;Input!$I$13),0,IF(AND(B84&gt;=Input!$I$13,B84&lt;Input!$I$13+12),Input!$I$12,IF(B84=Input!$I$13+12,Input!$I$12*(1+annual_incr_util),IF(B84=Input!$I$13+24,Input!$I$12*(1+annual_incr_util)^2,IF(B84=Input!$I$13+36,Input!$I$12*(1+annual_incr_util)^3,IF(B84=Input!$I$13+48,Input!$I$12*(1+annual_incr_util)^4,IF(B84=Input!$I$13+60,Input!$I$12*(1+annual_incr_util)^5,IF(B84=Input!$I$13+72,Input!$I$12*(1+annual_incr_util)^6,IF(B84=Input!$I$13+84,Input!$I$12*(1+annual_incr_util)^7,IF(B84=Input!$I$13+96,Input!$I$12*(1+annual_incr_util)^8,IF(B84=Input!$I$13+108,Input!$I$12*(1+annual_incr_util)^9,IF(B84=Input!$I$13+120,Input!$I$12*(1+annual_incr_util)^10,I83))))))))))))</f>
        <v>545.19626978723227</v>
      </c>
      <c r="J84" s="139">
        <f>IF(Input!$I$16="",0,IF(B84=Input!$I$16,Input!$I$15,IF(B84=Input!$I$16+12,Input!$I$15*(1+annual_incr_advtg),IF(B84=Input!$I$16+24,Input!$I$15*(1+annual_incr_advtg)^2,IF(B84=Input!$I$16+36,Input!$I$15*(1+annual_incr_advtg)^3,IF(B84=Input!$I$16+48,Input!$I$15*(1+annual_incr_advtg)^4,IF(B84=Input!$I$16+60,Input!$I$15*(1+annual_incr_advtg)^5,IF(B84=Input!$I$16+72,Input!$I$15*(1+annual_incr_advtg)^6,IF(B84=Input!$I$16+84,Input!$I$15*(1+annual_incr_advtg)^7,IF(B84=Input!$I$16+96,Input!$I$15*(1+annual_incr_advtg)^8,IF(B84=Input!$I$16+108,Input!$I$15*(1+annual_incr_advtg)^9,IF(B84=Input!$I$16+120,Input!$I$15*(1+annual_incr_advtg)^10,0))))))))))))</f>
        <v>0</v>
      </c>
      <c r="K84" s="139">
        <f>IF(Input!$I$19="",0,IF(B84=Input!$I$19,Input!$I$18,IF(B84=Input!$I$19+12,Input!$I$18*(1+annual_incr_other1),IF(B84=Input!$I$19+24,Input!$I$18*(1+annual_incr_other1)^2,IF(B84=Input!$I$19+36,Input!$I$18*(1+annual_incr_other1)^3,IF(B84=Input!$I$19+48,Input!$I$18*(1+annual_incr_other1)^4,IF(B84=Input!$I$19+60,Input!$I$18*(1+annual_incr_other1)^5,IF(B84=Input!$I$19+72,Input!$I$18*(1+annual_incr_other1)^6,IF(B84=Input!$I$19+84,Input!$I$18*(1+annual_incr_other1)^7,IF(B84=Input!$I$19+96,Input!$I$18*(1+annual_incr_other1)^8,IF(B84=Input!$I$19+108,Input!$I$18*(1+annual_incr_other1)^9,IF(B84=Input!$I$19+120,Input!$I$18*(1+annual_incr_other1)^10,0))))))))))))</f>
        <v>0</v>
      </c>
      <c r="L84" s="156">
        <f>IF(OR(Input!$I$22="",B84&lt;Input!$I$22),0,IF(AND(B84&gt;=Input!$I$22,B84&lt;Input!$I$22+12),Input!$I$21,IF(B84=Input!$I$22+12,Input!$I$21*(1+annual_incr_other2),IF(B84=Input!$I$22+24,Input!$I$21*(1+annual_incr_other2)^2,IF(B84=Input!$I$22+36,Input!$I$21*(1+annual_incr_other2)^3,IF(B84=Input!$I$22+48,Input!$I$21*(1+annual_incr_other2)^4,IF(B84=Input!$I$22+60,Input!$I$21*(1+annual_incr_other2)^5,IF(B84=Input!$I$22+72,Input!$I$21*(1+annual_incr_other2)^6,IF(B84=Input!$I$22+84,Input!$I$21*(1+annual_incr_other2)^7,IF(B84=Input!$I$22+96,Input!$I$21*(1+annual_incr_other2)^8,IF(B84=Input!$I$22+108,Input!$I$21*(1+annual_incr_other2)^9,IF(B84=Input!$I$22+120,Input!$I$21*(1+annual_incr_other2)^10,L83))))))))))))</f>
        <v>637.8313800170896</v>
      </c>
      <c r="M84" s="139">
        <f>IF(OR(Input!$I$27="",B84&lt;Input!$I$27),0,E84*mgmt_fee)</f>
        <v>2191.0065839999997</v>
      </c>
      <c r="N84" s="139">
        <f>IF(OR(Input!$I$29="",B84&lt;Input!$I$29),0,E84*repairs_maint)</f>
        <v>2677.8969360000001</v>
      </c>
      <c r="O84" s="149">
        <f>IF(Input!$I$31="",0,IF(OR(B84=Input!$I$31,B84=Input!$I$31+12,B84=Input!$I$31+24,B84=Input!$I$31+36,B84=Input!$I$31+48,B84=Input!$I$31+60,B84=Input!$I$31+72,B84=Input!$I$31+84,B84=Input!$I$31+96,B84=Input!$I$31+108,B84=Input!$I$31+120),E84*other_3,0))</f>
        <v>0</v>
      </c>
      <c r="P84" s="158">
        <f t="shared" si="57"/>
        <v>6051.9311698043221</v>
      </c>
      <c r="Q84" s="159">
        <f t="shared" si="58"/>
        <v>237393.24483019568</v>
      </c>
      <c r="R84" s="160"/>
      <c r="S84" s="161">
        <f>IF(AND(leveraged_property,B84&lt;=amort_period),-IPMT(interest_rate/12,B84,amort_period,loan_amount),0)</f>
        <v>39017.049733645901</v>
      </c>
      <c r="T84" s="149">
        <f t="shared" si="59"/>
        <v>14922.905394319328</v>
      </c>
      <c r="U84" s="149">
        <f>IF(AND(leveraged_property,B84&lt;=amort_period),-PMT(interest_rate/12,amort_period,loan_amount),0)</f>
        <v>53939.95512796523</v>
      </c>
      <c r="V84" s="149">
        <f t="shared" si="60"/>
        <v>8497887.9455829635</v>
      </c>
      <c r="W84" s="160"/>
      <c r="X84" s="149">
        <f t="shared" si="61"/>
        <v>115583.24900390624</v>
      </c>
      <c r="Y84" s="162">
        <f t="shared" si="62"/>
        <v>27518059.922850028</v>
      </c>
      <c r="Z84" s="156">
        <f t="shared" si="45"/>
        <v>32978878.646086656</v>
      </c>
      <c r="AA84" s="163">
        <f t="shared" ca="1" si="46"/>
        <v>32978878.646086656</v>
      </c>
      <c r="AB84" s="160"/>
      <c r="AC84" s="164">
        <f>Input!$C$25/12</f>
        <v>26538.461538461535</v>
      </c>
      <c r="AD84" s="139">
        <f t="shared" si="47"/>
        <v>171837.73355808825</v>
      </c>
      <c r="AE84" s="149">
        <f t="shared" si="48"/>
        <v>51551.320067426474</v>
      </c>
      <c r="AF84" s="139">
        <f ca="1">IF(AA84=0,0,AA84-(total_initial_cost-SUM($AC$5:AC84)))</f>
        <v>14401955.569163576</v>
      </c>
      <c r="AG84" s="139">
        <f t="shared" ca="1" si="49"/>
        <v>2880391.1138327154</v>
      </c>
      <c r="AH84" s="149">
        <f t="shared" ca="1" si="63"/>
        <v>30098487.53225394</v>
      </c>
      <c r="AI84" s="103"/>
      <c r="AJ84" s="165">
        <f t="shared" ca="1" si="50"/>
        <v>9398487.5322539397</v>
      </c>
      <c r="AK84" s="165">
        <f t="shared" ca="1" si="66"/>
        <v>10992651.912510637</v>
      </c>
      <c r="AL84" s="300">
        <f t="shared" ca="1" si="67"/>
        <v>0.98148677790273542</v>
      </c>
      <c r="AM84" s="300">
        <f t="shared" si="68"/>
        <v>0.17555761123604724</v>
      </c>
      <c r="AN84" s="300">
        <f t="shared" si="69"/>
        <v>0.12625723224054647</v>
      </c>
      <c r="AO84" s="301">
        <f>IF(leveraged_property,SUM(Q73:Q84)/SUM(U73:U84),"N/A")</f>
        <v>4.0377068371350431</v>
      </c>
      <c r="AP84" s="103"/>
      <c r="AQ84" s="149">
        <f t="shared" si="64"/>
        <v>183453.28970223045</v>
      </c>
      <c r="AR84" s="149">
        <f t="shared" ca="1" si="51"/>
        <v>24664443.990205921</v>
      </c>
      <c r="AS84" s="288">
        <f ca="1">IF(down_payment&lt;=0,"N/A",IRR(($AQ$4:AQ83,AR84),))</f>
        <v>1.6901337721553996E-2</v>
      </c>
      <c r="AT84" s="290">
        <f t="shared" ca="1" si="52"/>
        <v>0.22277295271130759</v>
      </c>
      <c r="AU84" s="288">
        <f ca="1">IF(down_payment&lt;=0,"N/A",MIRR(($AQ$4:AQ83,AR84),finance_rate,reinvestment_rate))</f>
        <v>1.6475386388569602E-2</v>
      </c>
      <c r="AV84" s="290">
        <f t="shared" ca="1" si="53"/>
        <v>0.2166408707371672</v>
      </c>
      <c r="AW84" s="103"/>
      <c r="AX84" s="152" t="str">
        <f t="shared" si="54"/>
        <v/>
      </c>
      <c r="AY84" s="296" t="str">
        <f>IF(AND(B84=$BA$4,OR(down_payment&lt;=0,purchase_date="")),"N/A",IF(B84=$BA$4,XIRR(AX$4:AX84,A$4:A84),""))</f>
        <v/>
      </c>
      <c r="BA84" s="178"/>
    </row>
    <row r="85" spans="1:53">
      <c r="A85" s="137">
        <f t="shared" si="65"/>
        <v>42628</v>
      </c>
      <c r="B85" s="138">
        <f t="shared" si="55"/>
        <v>81</v>
      </c>
      <c r="C85" s="139">
        <f>C84+(C84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5" s="139">
        <f t="shared" si="44"/>
        <v>12812.904000000002</v>
      </c>
      <c r="E85" s="140">
        <f t="shared" si="56"/>
        <v>243445.17600000001</v>
      </c>
      <c r="F85" s="141"/>
      <c r="G85" s="157">
        <f>IF(Input!$I$7="",0,IF(B85=Input!$I$7,Input!$I$6,IF(B85=Input!$I$7+12,Input!$I$6*(1+annual_incr_proptax),IF(B85=Input!$I$7+24,Input!$I$6*(1+annual_incr_proptax)^2,IF(B85=Input!$I$7+36,Input!$I$6*(1+annual_incr_proptax)^3,IF(B85=Input!$I$7+48,Input!$I$6*(1+annual_incr_proptax)^4,IF(B85=Input!$I$7+60,Input!$I$6*(1+annual_incr_proptax)^5,IF(B85=Input!$I$7+72,Input!$I$6*(1+annual_incr_proptax)^6,IF(B85=Input!$I$7+84,Input!$I$6*(1+annual_incr_proptax)^7,IF(B85=Input!$I$7+96,Input!$I$6*(1+annual_incr_proptax)^8,IF(B85=Input!$I$7+108,Input!$I$6*(1+annual_incr_proptax)^9,IF(B85=Input!$I$7+120,Input!$I$6*(1+annual_incr_proptax)^10,0))))))))))))</f>
        <v>0</v>
      </c>
      <c r="H85" s="139">
        <f>IF(Input!$I$10="",0,IF(B85=Input!$I$10,Input!$I$9,IF(B85=Input!$I$10+12,Input!$I$9*(1+annual_incr_ins),IF(B85=Input!$I$10+24,Input!$I$9*(1+annual_incr_ins)^2,IF(B85=Input!$I$10+36,Input!$I$9*(1+annual_incr_ins)^3,IF(B85=Input!$I$10+48,Input!$I$9*(1+annual_incr_ins)^4,IF(B85=Input!$I$10+60,Input!$I$9*(1+annual_incr_ins)^5,IF(B85=Input!$I$10+72,Input!$I$9*(1+annual_incr_ins)^6,IF(B85=Input!$I$10+84,Input!$I$9*(1+annual_incr_ins)^7,IF(B85=Input!$I$10+96,Input!$I$9*(1+annual_incr_ins)^8,IF(B85=Input!$I$10+108,Input!$I$9*(1+annual_incr_ins)^9,IF(B85=Input!$I$10+120,Input!$I$9*(1+annual_incr_ins)^10,0))))))))))))</f>
        <v>0</v>
      </c>
      <c r="I85" s="139">
        <f>IF(OR(Input!$I$13="",B85&lt;Input!$I$13),0,IF(AND(B85&gt;=Input!$I$13,B85&lt;Input!$I$13+12),Input!$I$12,IF(B85=Input!$I$13+12,Input!$I$12*(1+annual_incr_util),IF(B85=Input!$I$13+24,Input!$I$12*(1+annual_incr_util)^2,IF(B85=Input!$I$13+36,Input!$I$12*(1+annual_incr_util)^3,IF(B85=Input!$I$13+48,Input!$I$12*(1+annual_incr_util)^4,IF(B85=Input!$I$13+60,Input!$I$12*(1+annual_incr_util)^5,IF(B85=Input!$I$13+72,Input!$I$12*(1+annual_incr_util)^6,IF(B85=Input!$I$13+84,Input!$I$12*(1+annual_incr_util)^7,IF(B85=Input!$I$13+96,Input!$I$12*(1+annual_incr_util)^8,IF(B85=Input!$I$13+108,Input!$I$12*(1+annual_incr_util)^9,IF(B85=Input!$I$13+120,Input!$I$12*(1+annual_incr_util)^10,I84))))))))))))</f>
        <v>545.19626978723227</v>
      </c>
      <c r="J85" s="139">
        <f>IF(Input!$I$16="",0,IF(B85=Input!$I$16,Input!$I$15,IF(B85=Input!$I$16+12,Input!$I$15*(1+annual_incr_advtg),IF(B85=Input!$I$16+24,Input!$I$15*(1+annual_incr_advtg)^2,IF(B85=Input!$I$16+36,Input!$I$15*(1+annual_incr_advtg)^3,IF(B85=Input!$I$16+48,Input!$I$15*(1+annual_incr_advtg)^4,IF(B85=Input!$I$16+60,Input!$I$15*(1+annual_incr_advtg)^5,IF(B85=Input!$I$16+72,Input!$I$15*(1+annual_incr_advtg)^6,IF(B85=Input!$I$16+84,Input!$I$15*(1+annual_incr_advtg)^7,IF(B85=Input!$I$16+96,Input!$I$15*(1+annual_incr_advtg)^8,IF(B85=Input!$I$16+108,Input!$I$15*(1+annual_incr_advtg)^9,IF(B85=Input!$I$16+120,Input!$I$15*(1+annual_incr_advtg)^10,0))))))))))))</f>
        <v>0</v>
      </c>
      <c r="K85" s="139">
        <f>IF(Input!$I$19="",0,IF(B85=Input!$I$19,Input!$I$18,IF(B85=Input!$I$19+12,Input!$I$18*(1+annual_incr_other1),IF(B85=Input!$I$19+24,Input!$I$18*(1+annual_incr_other1)^2,IF(B85=Input!$I$19+36,Input!$I$18*(1+annual_incr_other1)^3,IF(B85=Input!$I$19+48,Input!$I$18*(1+annual_incr_other1)^4,IF(B85=Input!$I$19+60,Input!$I$18*(1+annual_incr_other1)^5,IF(B85=Input!$I$19+72,Input!$I$18*(1+annual_incr_other1)^6,IF(B85=Input!$I$19+84,Input!$I$18*(1+annual_incr_other1)^7,IF(B85=Input!$I$19+96,Input!$I$18*(1+annual_incr_other1)^8,IF(B85=Input!$I$19+108,Input!$I$18*(1+annual_incr_other1)^9,IF(B85=Input!$I$19+120,Input!$I$18*(1+annual_incr_other1)^10,0))))))))))))</f>
        <v>0</v>
      </c>
      <c r="L85" s="156">
        <f>IF(OR(Input!$I$22="",B85&lt;Input!$I$22),0,IF(AND(B85&gt;=Input!$I$22,B85&lt;Input!$I$22+12),Input!$I$21,IF(B85=Input!$I$22+12,Input!$I$21*(1+annual_incr_other2),IF(B85=Input!$I$22+24,Input!$I$21*(1+annual_incr_other2)^2,IF(B85=Input!$I$22+36,Input!$I$21*(1+annual_incr_other2)^3,IF(B85=Input!$I$22+48,Input!$I$21*(1+annual_incr_other2)^4,IF(B85=Input!$I$22+60,Input!$I$21*(1+annual_incr_other2)^5,IF(B85=Input!$I$22+72,Input!$I$21*(1+annual_incr_other2)^6,IF(B85=Input!$I$22+84,Input!$I$21*(1+annual_incr_other2)^7,IF(B85=Input!$I$22+96,Input!$I$21*(1+annual_incr_other2)^8,IF(B85=Input!$I$22+108,Input!$I$21*(1+annual_incr_other2)^9,IF(B85=Input!$I$22+120,Input!$I$21*(1+annual_incr_other2)^10,L84))))))))))))</f>
        <v>637.8313800170896</v>
      </c>
      <c r="M85" s="139">
        <f>IF(OR(Input!$I$27="",B85&lt;Input!$I$27),0,E85*mgmt_fee)</f>
        <v>2191.0065839999997</v>
      </c>
      <c r="N85" s="139">
        <f>IF(OR(Input!$I$29="",B85&lt;Input!$I$29),0,E85*repairs_maint)</f>
        <v>2677.8969360000001</v>
      </c>
      <c r="O85" s="149">
        <f>IF(Input!$I$31="",0,IF(OR(B85=Input!$I$31,B85=Input!$I$31+12,B85=Input!$I$31+24,B85=Input!$I$31+36,B85=Input!$I$31+48,B85=Input!$I$31+60,B85=Input!$I$31+72,B85=Input!$I$31+84,B85=Input!$I$31+96,B85=Input!$I$31+108,B85=Input!$I$31+120),E85*other_3,0))</f>
        <v>0</v>
      </c>
      <c r="P85" s="158">
        <f t="shared" si="57"/>
        <v>6051.9311698043221</v>
      </c>
      <c r="Q85" s="159">
        <f t="shared" si="58"/>
        <v>237393.24483019568</v>
      </c>
      <c r="R85" s="160"/>
      <c r="S85" s="161">
        <f>IF(AND(leveraged_property,B85&lt;=amort_period),-IPMT(interest_rate/12,B85,amort_period,loan_amount),0)</f>
        <v>38948.653083921934</v>
      </c>
      <c r="T85" s="149">
        <f t="shared" si="59"/>
        <v>14991.302044043296</v>
      </c>
      <c r="U85" s="149">
        <f>IF(AND(leveraged_property,B85&lt;=amort_period),-PMT(interest_rate/12,amort_period,loan_amount),0)</f>
        <v>53939.95512796523</v>
      </c>
      <c r="V85" s="149">
        <f t="shared" si="60"/>
        <v>8482896.6435389202</v>
      </c>
      <c r="W85" s="160"/>
      <c r="X85" s="149">
        <f t="shared" si="61"/>
        <v>115583.24900390624</v>
      </c>
      <c r="Y85" s="162">
        <f t="shared" si="62"/>
        <v>27629019.841893777</v>
      </c>
      <c r="Z85" s="156">
        <f t="shared" si="45"/>
        <v>32978474.670127437</v>
      </c>
      <c r="AA85" s="163">
        <f t="shared" ca="1" si="46"/>
        <v>32978474.670127437</v>
      </c>
      <c r="AB85" s="160"/>
      <c r="AC85" s="164">
        <f>Input!$C$25/12</f>
        <v>26538.461538461535</v>
      </c>
      <c r="AD85" s="139">
        <f t="shared" si="47"/>
        <v>171906.13020781221</v>
      </c>
      <c r="AE85" s="149">
        <f t="shared" si="48"/>
        <v>51571.839062343664</v>
      </c>
      <c r="AF85" s="139">
        <f ca="1">IF(AA85=0,0,AA85-(total_initial_cost-SUM($AC$5:AC85)))</f>
        <v>14428090.054742821</v>
      </c>
      <c r="AG85" s="139">
        <f t="shared" ca="1" si="49"/>
        <v>2885618.0109485644</v>
      </c>
      <c r="AH85" s="149">
        <f t="shared" ca="1" si="63"/>
        <v>30092856.659178872</v>
      </c>
      <c r="AI85" s="103"/>
      <c r="AJ85" s="165">
        <f t="shared" ca="1" si="50"/>
        <v>9392856.6591788717</v>
      </c>
      <c r="AK85" s="165">
        <f t="shared" ca="1" si="66"/>
        <v>11011823.918732064</v>
      </c>
      <c r="AL85" s="300">
        <f t="shared" ca="1" si="67"/>
        <v>0.98319856417250573</v>
      </c>
      <c r="AM85" s="300">
        <f t="shared" si="68"/>
        <v>0.17864977288563733</v>
      </c>
      <c r="AN85" s="300">
        <f t="shared" si="69"/>
        <v>0.12793028588670149</v>
      </c>
      <c r="AO85" s="301">
        <f>IF(leveraged_property,SUM(Q74:Q85)/SUM(U74:U85),"N/A")</f>
        <v>4.0912111000283051</v>
      </c>
      <c r="AP85" s="103"/>
      <c r="AQ85" s="149">
        <f t="shared" si="64"/>
        <v>183453.28970223045</v>
      </c>
      <c r="AR85" s="149">
        <f t="shared" ca="1" si="51"/>
        <v>24679031.316290744</v>
      </c>
      <c r="AS85" s="288">
        <f ca="1">IF(down_payment&lt;=0,"N/A",IRR(($AQ$4:AQ84,AR85),))</f>
        <v>1.6819816026238804E-2</v>
      </c>
      <c r="AT85" s="290">
        <f t="shared" ca="1" si="52"/>
        <v>0.2215971621358257</v>
      </c>
      <c r="AU85" s="288">
        <f ca="1">IF(down_payment&lt;=0,"N/A",MIRR(($AQ$4:AQ84,AR85),finance_rate,reinvestment_rate))</f>
        <v>1.6406533113312305E-2</v>
      </c>
      <c r="AV85" s="290">
        <f t="shared" ca="1" si="53"/>
        <v>0.21565229580732903</v>
      </c>
      <c r="AW85" s="103"/>
      <c r="AX85" s="194" t="str">
        <f t="shared" si="54"/>
        <v/>
      </c>
      <c r="AY85" s="296" t="str">
        <f>IF(AND(B85=$BA$4,OR(down_payment&lt;=0,purchase_date="")),"N/A",IF(B85=$BA$4,XIRR(AX$4:AX85,A$4:A85),""))</f>
        <v/>
      </c>
      <c r="BA85" s="178"/>
    </row>
    <row r="86" spans="1:53">
      <c r="A86" s="137">
        <f t="shared" si="65"/>
        <v>42658</v>
      </c>
      <c r="B86" s="138">
        <f t="shared" si="55"/>
        <v>82</v>
      </c>
      <c r="C86" s="139">
        <f>C85+(C85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6" s="139">
        <f t="shared" si="44"/>
        <v>12812.904000000002</v>
      </c>
      <c r="E86" s="140">
        <f t="shared" si="56"/>
        <v>243445.17600000001</v>
      </c>
      <c r="F86" s="141"/>
      <c r="G86" s="157">
        <f>IF(Input!$I$7="",0,IF(B86=Input!$I$7,Input!$I$6,IF(B86=Input!$I$7+12,Input!$I$6*(1+annual_incr_proptax),IF(B86=Input!$I$7+24,Input!$I$6*(1+annual_incr_proptax)^2,IF(B86=Input!$I$7+36,Input!$I$6*(1+annual_incr_proptax)^3,IF(B86=Input!$I$7+48,Input!$I$6*(1+annual_incr_proptax)^4,IF(B86=Input!$I$7+60,Input!$I$6*(1+annual_incr_proptax)^5,IF(B86=Input!$I$7+72,Input!$I$6*(1+annual_incr_proptax)^6,IF(B86=Input!$I$7+84,Input!$I$6*(1+annual_incr_proptax)^7,IF(B86=Input!$I$7+96,Input!$I$6*(1+annual_incr_proptax)^8,IF(B86=Input!$I$7+108,Input!$I$6*(1+annual_incr_proptax)^9,IF(B86=Input!$I$7+120,Input!$I$6*(1+annual_incr_proptax)^10,0))))))))))))</f>
        <v>0</v>
      </c>
      <c r="H86" s="139">
        <f>IF(Input!$I$10="",0,IF(B86=Input!$I$10,Input!$I$9,IF(B86=Input!$I$10+12,Input!$I$9*(1+annual_incr_ins),IF(B86=Input!$I$10+24,Input!$I$9*(1+annual_incr_ins)^2,IF(B86=Input!$I$10+36,Input!$I$9*(1+annual_incr_ins)^3,IF(B86=Input!$I$10+48,Input!$I$9*(1+annual_incr_ins)^4,IF(B86=Input!$I$10+60,Input!$I$9*(1+annual_incr_ins)^5,IF(B86=Input!$I$10+72,Input!$I$9*(1+annual_incr_ins)^6,IF(B86=Input!$I$10+84,Input!$I$9*(1+annual_incr_ins)^7,IF(B86=Input!$I$10+96,Input!$I$9*(1+annual_incr_ins)^8,IF(B86=Input!$I$10+108,Input!$I$9*(1+annual_incr_ins)^9,IF(B86=Input!$I$10+120,Input!$I$9*(1+annual_incr_ins)^10,0))))))))))))</f>
        <v>0</v>
      </c>
      <c r="I86" s="139">
        <f>IF(OR(Input!$I$13="",B86&lt;Input!$I$13),0,IF(AND(B86&gt;=Input!$I$13,B86&lt;Input!$I$13+12),Input!$I$12,IF(B86=Input!$I$13+12,Input!$I$12*(1+annual_incr_util),IF(B86=Input!$I$13+24,Input!$I$12*(1+annual_incr_util)^2,IF(B86=Input!$I$13+36,Input!$I$12*(1+annual_incr_util)^3,IF(B86=Input!$I$13+48,Input!$I$12*(1+annual_incr_util)^4,IF(B86=Input!$I$13+60,Input!$I$12*(1+annual_incr_util)^5,IF(B86=Input!$I$13+72,Input!$I$12*(1+annual_incr_util)^6,IF(B86=Input!$I$13+84,Input!$I$12*(1+annual_incr_util)^7,IF(B86=Input!$I$13+96,Input!$I$12*(1+annual_incr_util)^8,IF(B86=Input!$I$13+108,Input!$I$12*(1+annual_incr_util)^9,IF(B86=Input!$I$13+120,Input!$I$12*(1+annual_incr_util)^10,I85))))))))))))</f>
        <v>545.19626978723227</v>
      </c>
      <c r="J86" s="139">
        <f>IF(Input!$I$16="",0,IF(B86=Input!$I$16,Input!$I$15,IF(B86=Input!$I$16+12,Input!$I$15*(1+annual_incr_advtg),IF(B86=Input!$I$16+24,Input!$I$15*(1+annual_incr_advtg)^2,IF(B86=Input!$I$16+36,Input!$I$15*(1+annual_incr_advtg)^3,IF(B86=Input!$I$16+48,Input!$I$15*(1+annual_incr_advtg)^4,IF(B86=Input!$I$16+60,Input!$I$15*(1+annual_incr_advtg)^5,IF(B86=Input!$I$16+72,Input!$I$15*(1+annual_incr_advtg)^6,IF(B86=Input!$I$16+84,Input!$I$15*(1+annual_incr_advtg)^7,IF(B86=Input!$I$16+96,Input!$I$15*(1+annual_incr_advtg)^8,IF(B86=Input!$I$16+108,Input!$I$15*(1+annual_incr_advtg)^9,IF(B86=Input!$I$16+120,Input!$I$15*(1+annual_incr_advtg)^10,0))))))))))))</f>
        <v>0</v>
      </c>
      <c r="K86" s="139">
        <f>IF(Input!$I$19="",0,IF(B86=Input!$I$19,Input!$I$18,IF(B86=Input!$I$19+12,Input!$I$18*(1+annual_incr_other1),IF(B86=Input!$I$19+24,Input!$I$18*(1+annual_incr_other1)^2,IF(B86=Input!$I$19+36,Input!$I$18*(1+annual_incr_other1)^3,IF(B86=Input!$I$19+48,Input!$I$18*(1+annual_incr_other1)^4,IF(B86=Input!$I$19+60,Input!$I$18*(1+annual_incr_other1)^5,IF(B86=Input!$I$19+72,Input!$I$18*(1+annual_incr_other1)^6,IF(B86=Input!$I$19+84,Input!$I$18*(1+annual_incr_other1)^7,IF(B86=Input!$I$19+96,Input!$I$18*(1+annual_incr_other1)^8,IF(B86=Input!$I$19+108,Input!$I$18*(1+annual_incr_other1)^9,IF(B86=Input!$I$19+120,Input!$I$18*(1+annual_incr_other1)^10,0))))))))))))</f>
        <v>0</v>
      </c>
      <c r="L86" s="156">
        <f>IF(OR(Input!$I$22="",B86&lt;Input!$I$22),0,IF(AND(B86&gt;=Input!$I$22,B86&lt;Input!$I$22+12),Input!$I$21,IF(B86=Input!$I$22+12,Input!$I$21*(1+annual_incr_other2),IF(B86=Input!$I$22+24,Input!$I$21*(1+annual_incr_other2)^2,IF(B86=Input!$I$22+36,Input!$I$21*(1+annual_incr_other2)^3,IF(B86=Input!$I$22+48,Input!$I$21*(1+annual_incr_other2)^4,IF(B86=Input!$I$22+60,Input!$I$21*(1+annual_incr_other2)^5,IF(B86=Input!$I$22+72,Input!$I$21*(1+annual_incr_other2)^6,IF(B86=Input!$I$22+84,Input!$I$21*(1+annual_incr_other2)^7,IF(B86=Input!$I$22+96,Input!$I$21*(1+annual_incr_other2)^8,IF(B86=Input!$I$22+108,Input!$I$21*(1+annual_incr_other2)^9,IF(B86=Input!$I$22+120,Input!$I$21*(1+annual_incr_other2)^10,L85))))))))))))</f>
        <v>637.8313800170896</v>
      </c>
      <c r="M86" s="139">
        <f>IF(OR(Input!$I$27="",B86&lt;Input!$I$27),0,E86*mgmt_fee)</f>
        <v>2191.0065839999997</v>
      </c>
      <c r="N86" s="139">
        <f>IF(OR(Input!$I$29="",B86&lt;Input!$I$29),0,E86*repairs_maint)</f>
        <v>2677.8969360000001</v>
      </c>
      <c r="O86" s="149">
        <f>IF(Input!$I$31="",0,IF(OR(B86=Input!$I$31,B86=Input!$I$31+12,B86=Input!$I$31+24,B86=Input!$I$31+36,B86=Input!$I$31+48,B86=Input!$I$31+60,B86=Input!$I$31+72,B86=Input!$I$31+84,B86=Input!$I$31+96,B86=Input!$I$31+108,B86=Input!$I$31+120),E86*other_3,0))</f>
        <v>0</v>
      </c>
      <c r="P86" s="158">
        <f t="shared" si="57"/>
        <v>6051.9311698043221</v>
      </c>
      <c r="Q86" s="159">
        <f t="shared" si="58"/>
        <v>237393.24483019568</v>
      </c>
      <c r="R86" s="160"/>
      <c r="S86" s="161">
        <f>IF(AND(leveraged_property,B86&lt;=amort_period),-IPMT(interest_rate/12,B86,amort_period,loan_amount),0)</f>
        <v>38879.942949553391</v>
      </c>
      <c r="T86" s="149">
        <f t="shared" si="59"/>
        <v>15060.012178411838</v>
      </c>
      <c r="U86" s="149">
        <f>IF(AND(leveraged_property,B86&lt;=amort_period),-PMT(interest_rate/12,amort_period,loan_amount),0)</f>
        <v>53939.95512796523</v>
      </c>
      <c r="V86" s="149">
        <f t="shared" si="60"/>
        <v>8467836.6313605085</v>
      </c>
      <c r="W86" s="160"/>
      <c r="X86" s="149">
        <f t="shared" si="61"/>
        <v>115583.24900390624</v>
      </c>
      <c r="Y86" s="162">
        <f t="shared" si="62"/>
        <v>27739979.760937527</v>
      </c>
      <c r="Z86" s="156">
        <f t="shared" si="45"/>
        <v>32978070.694168217</v>
      </c>
      <c r="AA86" s="163">
        <f t="shared" ca="1" si="46"/>
        <v>32978070.694168217</v>
      </c>
      <c r="AB86" s="160"/>
      <c r="AC86" s="164">
        <f>Input!$C$25/12</f>
        <v>26538.461538461535</v>
      </c>
      <c r="AD86" s="139">
        <f t="shared" si="47"/>
        <v>171974.84034218075</v>
      </c>
      <c r="AE86" s="149">
        <f t="shared" si="48"/>
        <v>51592.452102654221</v>
      </c>
      <c r="AF86" s="139">
        <f ca="1">IF(AA86=0,0,AA86-(total_initial_cost-SUM($AC$5:AC86)))</f>
        <v>14454224.540322062</v>
      </c>
      <c r="AG86" s="139">
        <f t="shared" ca="1" si="49"/>
        <v>2890844.9080644124</v>
      </c>
      <c r="AH86" s="149">
        <f t="shared" ca="1" si="63"/>
        <v>30087225.786103804</v>
      </c>
      <c r="AI86" s="103"/>
      <c r="AJ86" s="165">
        <f t="shared" ca="1" si="50"/>
        <v>9387225.7861038037</v>
      </c>
      <c r="AK86" s="165">
        <f t="shared" ca="1" si="66"/>
        <v>11030998.493141659</v>
      </c>
      <c r="AL86" s="300">
        <f t="shared" ca="1" si="67"/>
        <v>0.9849105797447909</v>
      </c>
      <c r="AM86" s="300">
        <f t="shared" si="68"/>
        <v>0.18174193453522736</v>
      </c>
      <c r="AN86" s="300">
        <f t="shared" si="69"/>
        <v>0.12960333953285649</v>
      </c>
      <c r="AO86" s="301">
        <f>IF(leveraged_property,SUM(Q75:Q86)/SUM(U75:U86),"N/A")</f>
        <v>4.1447153629215663</v>
      </c>
      <c r="AP86" s="103"/>
      <c r="AQ86" s="149">
        <f t="shared" si="64"/>
        <v>183453.28970223045</v>
      </c>
      <c r="AR86" s="149">
        <f t="shared" ca="1" si="51"/>
        <v>24693687.352509938</v>
      </c>
      <c r="AS86" s="288">
        <f ca="1">IF(down_payment&lt;=0,"N/A",IRR(($AQ$4:AQ85,AR86),))</f>
        <v>1.6740487168581855E-2</v>
      </c>
      <c r="AT86" s="290">
        <f t="shared" ca="1" si="52"/>
        <v>0.22045399398370757</v>
      </c>
      <c r="AU86" s="288">
        <f ca="1">IF(down_payment&lt;=0,"N/A",MIRR(($AQ$4:AQ85,AR86),finance_rate,reinvestment_rate))</f>
        <v>1.6339860602198497E-2</v>
      </c>
      <c r="AV86" s="290">
        <f t="shared" ca="1" si="53"/>
        <v>0.21469573340576309</v>
      </c>
      <c r="AW86" s="103"/>
      <c r="AX86" s="194" t="str">
        <f t="shared" si="54"/>
        <v/>
      </c>
      <c r="AY86" s="296" t="str">
        <f>IF(AND(B86=$BA$4,OR(down_payment&lt;=0,purchase_date="")),"N/A",IF(B86=$BA$4,XIRR(AX$4:AX86,A$4:A86),""))</f>
        <v/>
      </c>
      <c r="BA86" s="178"/>
    </row>
    <row r="87" spans="1:53">
      <c r="A87" s="137">
        <f t="shared" si="65"/>
        <v>42689</v>
      </c>
      <c r="B87" s="138">
        <f t="shared" si="55"/>
        <v>83</v>
      </c>
      <c r="C87" s="139">
        <f>C86+(C86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7" s="139">
        <f t="shared" si="44"/>
        <v>12812.904000000002</v>
      </c>
      <c r="E87" s="140">
        <f t="shared" si="56"/>
        <v>243445.17600000001</v>
      </c>
      <c r="F87" s="141"/>
      <c r="G87" s="157">
        <f>IF(Input!$I$7="",0,IF(B87=Input!$I$7,Input!$I$6,IF(B87=Input!$I$7+12,Input!$I$6*(1+annual_incr_proptax),IF(B87=Input!$I$7+24,Input!$I$6*(1+annual_incr_proptax)^2,IF(B87=Input!$I$7+36,Input!$I$6*(1+annual_incr_proptax)^3,IF(B87=Input!$I$7+48,Input!$I$6*(1+annual_incr_proptax)^4,IF(B87=Input!$I$7+60,Input!$I$6*(1+annual_incr_proptax)^5,IF(B87=Input!$I$7+72,Input!$I$6*(1+annual_incr_proptax)^6,IF(B87=Input!$I$7+84,Input!$I$6*(1+annual_incr_proptax)^7,IF(B87=Input!$I$7+96,Input!$I$6*(1+annual_incr_proptax)^8,IF(B87=Input!$I$7+108,Input!$I$6*(1+annual_incr_proptax)^9,IF(B87=Input!$I$7+120,Input!$I$6*(1+annual_incr_proptax)^10,0))))))))))))</f>
        <v>0</v>
      </c>
      <c r="H87" s="139">
        <f>IF(Input!$I$10="",0,IF(B87=Input!$I$10,Input!$I$9,IF(B87=Input!$I$10+12,Input!$I$9*(1+annual_incr_ins),IF(B87=Input!$I$10+24,Input!$I$9*(1+annual_incr_ins)^2,IF(B87=Input!$I$10+36,Input!$I$9*(1+annual_incr_ins)^3,IF(B87=Input!$I$10+48,Input!$I$9*(1+annual_incr_ins)^4,IF(B87=Input!$I$10+60,Input!$I$9*(1+annual_incr_ins)^5,IF(B87=Input!$I$10+72,Input!$I$9*(1+annual_incr_ins)^6,IF(B87=Input!$I$10+84,Input!$I$9*(1+annual_incr_ins)^7,IF(B87=Input!$I$10+96,Input!$I$9*(1+annual_incr_ins)^8,IF(B87=Input!$I$10+108,Input!$I$9*(1+annual_incr_ins)^9,IF(B87=Input!$I$10+120,Input!$I$9*(1+annual_incr_ins)^10,0))))))))))))</f>
        <v>0</v>
      </c>
      <c r="I87" s="139">
        <f>IF(OR(Input!$I$13="",B87&lt;Input!$I$13),0,IF(AND(B87&gt;=Input!$I$13,B87&lt;Input!$I$13+12),Input!$I$12,IF(B87=Input!$I$13+12,Input!$I$12*(1+annual_incr_util),IF(B87=Input!$I$13+24,Input!$I$12*(1+annual_incr_util)^2,IF(B87=Input!$I$13+36,Input!$I$12*(1+annual_incr_util)^3,IF(B87=Input!$I$13+48,Input!$I$12*(1+annual_incr_util)^4,IF(B87=Input!$I$13+60,Input!$I$12*(1+annual_incr_util)^5,IF(B87=Input!$I$13+72,Input!$I$12*(1+annual_incr_util)^6,IF(B87=Input!$I$13+84,Input!$I$12*(1+annual_incr_util)^7,IF(B87=Input!$I$13+96,Input!$I$12*(1+annual_incr_util)^8,IF(B87=Input!$I$13+108,Input!$I$12*(1+annual_incr_util)^9,IF(B87=Input!$I$13+120,Input!$I$12*(1+annual_incr_util)^10,I86))))))))))))</f>
        <v>545.19626978723227</v>
      </c>
      <c r="J87" s="139">
        <f>IF(Input!$I$16="",0,IF(B87=Input!$I$16,Input!$I$15,IF(B87=Input!$I$16+12,Input!$I$15*(1+annual_incr_advtg),IF(B87=Input!$I$16+24,Input!$I$15*(1+annual_incr_advtg)^2,IF(B87=Input!$I$16+36,Input!$I$15*(1+annual_incr_advtg)^3,IF(B87=Input!$I$16+48,Input!$I$15*(1+annual_incr_advtg)^4,IF(B87=Input!$I$16+60,Input!$I$15*(1+annual_incr_advtg)^5,IF(B87=Input!$I$16+72,Input!$I$15*(1+annual_incr_advtg)^6,IF(B87=Input!$I$16+84,Input!$I$15*(1+annual_incr_advtg)^7,IF(B87=Input!$I$16+96,Input!$I$15*(1+annual_incr_advtg)^8,IF(B87=Input!$I$16+108,Input!$I$15*(1+annual_incr_advtg)^9,IF(B87=Input!$I$16+120,Input!$I$15*(1+annual_incr_advtg)^10,0))))))))))))</f>
        <v>0</v>
      </c>
      <c r="K87" s="139">
        <f>IF(Input!$I$19="",0,IF(B87=Input!$I$19,Input!$I$18,IF(B87=Input!$I$19+12,Input!$I$18*(1+annual_incr_other1),IF(B87=Input!$I$19+24,Input!$I$18*(1+annual_incr_other1)^2,IF(B87=Input!$I$19+36,Input!$I$18*(1+annual_incr_other1)^3,IF(B87=Input!$I$19+48,Input!$I$18*(1+annual_incr_other1)^4,IF(B87=Input!$I$19+60,Input!$I$18*(1+annual_incr_other1)^5,IF(B87=Input!$I$19+72,Input!$I$18*(1+annual_incr_other1)^6,IF(B87=Input!$I$19+84,Input!$I$18*(1+annual_incr_other1)^7,IF(B87=Input!$I$19+96,Input!$I$18*(1+annual_incr_other1)^8,IF(B87=Input!$I$19+108,Input!$I$18*(1+annual_incr_other1)^9,IF(B87=Input!$I$19+120,Input!$I$18*(1+annual_incr_other1)^10,0))))))))))))</f>
        <v>0</v>
      </c>
      <c r="L87" s="156">
        <f>IF(OR(Input!$I$22="",B87&lt;Input!$I$22),0,IF(AND(B87&gt;=Input!$I$22,B87&lt;Input!$I$22+12),Input!$I$21,IF(B87=Input!$I$22+12,Input!$I$21*(1+annual_incr_other2),IF(B87=Input!$I$22+24,Input!$I$21*(1+annual_incr_other2)^2,IF(B87=Input!$I$22+36,Input!$I$21*(1+annual_incr_other2)^3,IF(B87=Input!$I$22+48,Input!$I$21*(1+annual_incr_other2)^4,IF(B87=Input!$I$22+60,Input!$I$21*(1+annual_incr_other2)^5,IF(B87=Input!$I$22+72,Input!$I$21*(1+annual_incr_other2)^6,IF(B87=Input!$I$22+84,Input!$I$21*(1+annual_incr_other2)^7,IF(B87=Input!$I$22+96,Input!$I$21*(1+annual_incr_other2)^8,IF(B87=Input!$I$22+108,Input!$I$21*(1+annual_incr_other2)^9,IF(B87=Input!$I$22+120,Input!$I$21*(1+annual_incr_other2)^10,L86))))))))))))</f>
        <v>637.8313800170896</v>
      </c>
      <c r="M87" s="139">
        <f>IF(OR(Input!$I$27="",B87&lt;Input!$I$27),0,E87*mgmt_fee)</f>
        <v>2191.0065839999997</v>
      </c>
      <c r="N87" s="139">
        <f>IF(OR(Input!$I$29="",B87&lt;Input!$I$29),0,E87*repairs_maint)</f>
        <v>2677.8969360000001</v>
      </c>
      <c r="O87" s="149">
        <f>IF(Input!$I$31="",0,IF(OR(B87=Input!$I$31,B87=Input!$I$31+12,B87=Input!$I$31+24,B87=Input!$I$31+36,B87=Input!$I$31+48,B87=Input!$I$31+60,B87=Input!$I$31+72,B87=Input!$I$31+84,B87=Input!$I$31+96,B87=Input!$I$31+108,B87=Input!$I$31+120),E87*other_3,0))</f>
        <v>0</v>
      </c>
      <c r="P87" s="158">
        <f t="shared" si="57"/>
        <v>6051.9311698043221</v>
      </c>
      <c r="Q87" s="159">
        <f t="shared" si="58"/>
        <v>237393.24483019568</v>
      </c>
      <c r="R87" s="160"/>
      <c r="S87" s="161">
        <f>IF(AND(leveraged_property,B87&lt;=amort_period),-IPMT(interest_rate/12,B87,amort_period,loan_amount),0)</f>
        <v>38810.91789373567</v>
      </c>
      <c r="T87" s="149">
        <f t="shared" si="59"/>
        <v>15129.03723422956</v>
      </c>
      <c r="U87" s="149">
        <f>IF(AND(leveraged_property,B87&lt;=amort_period),-PMT(interest_rate/12,amort_period,loan_amount),0)</f>
        <v>53939.95512796523</v>
      </c>
      <c r="V87" s="149">
        <f t="shared" si="60"/>
        <v>8452707.5941262785</v>
      </c>
      <c r="W87" s="160"/>
      <c r="X87" s="149">
        <f t="shared" si="61"/>
        <v>115583.24900390624</v>
      </c>
      <c r="Y87" s="162">
        <f t="shared" si="62"/>
        <v>27850939.679981276</v>
      </c>
      <c r="Z87" s="156">
        <f t="shared" si="45"/>
        <v>32977666.718208987</v>
      </c>
      <c r="AA87" s="163">
        <f t="shared" ca="1" si="46"/>
        <v>32977666.718208987</v>
      </c>
      <c r="AB87" s="160"/>
      <c r="AC87" s="164">
        <f>Input!$C$25/12</f>
        <v>26538.461538461535</v>
      </c>
      <c r="AD87" s="139">
        <f t="shared" si="47"/>
        <v>172043.86539799848</v>
      </c>
      <c r="AE87" s="149">
        <f t="shared" si="48"/>
        <v>51613.159619399543</v>
      </c>
      <c r="AF87" s="139">
        <f ca="1">IF(AA87=0,0,AA87-(total_initial_cost-SUM($AC$5:AC87)))</f>
        <v>14480359.025901292</v>
      </c>
      <c r="AG87" s="139">
        <f t="shared" ca="1" si="49"/>
        <v>2896071.8051802586</v>
      </c>
      <c r="AH87" s="149">
        <f t="shared" ca="1" si="63"/>
        <v>30081594.913028728</v>
      </c>
      <c r="AI87" s="103"/>
      <c r="AJ87" s="165">
        <f t="shared" ca="1" si="50"/>
        <v>9381594.9130287282</v>
      </c>
      <c r="AK87" s="165">
        <f t="shared" ca="1" si="66"/>
        <v>11050175.647510277</v>
      </c>
      <c r="AL87" s="300">
        <f t="shared" ca="1" si="67"/>
        <v>0.98662282567056048</v>
      </c>
      <c r="AM87" s="300">
        <f t="shared" si="68"/>
        <v>0.18483409618481744</v>
      </c>
      <c r="AN87" s="300">
        <f t="shared" si="69"/>
        <v>0.13127639317901149</v>
      </c>
      <c r="AO87" s="301">
        <f>IF(leveraged_property,SUM(Q76:Q87)/SUM(U76:U87),"N/A")</f>
        <v>4.1982196258148283</v>
      </c>
      <c r="AP87" s="103"/>
      <c r="AQ87" s="149">
        <f t="shared" si="64"/>
        <v>183453.28970223045</v>
      </c>
      <c r="AR87" s="149">
        <f t="shared" ca="1" si="51"/>
        <v>24708412.413784936</v>
      </c>
      <c r="AS87" s="288">
        <f ca="1">IF(down_payment&lt;=0,"N/A",IRR(($AQ$4:AQ86,AR87),))</f>
        <v>1.6663267252415466E-2</v>
      </c>
      <c r="AT87" s="290">
        <f t="shared" ca="1" si="52"/>
        <v>0.21934215867203877</v>
      </c>
      <c r="AU87" s="288">
        <f ca="1">IF(down_payment&lt;=0,"N/A",MIRR(($AQ$4:AQ86,AR87),finance_rate,reinvestment_rate))</f>
        <v>1.6275286667623012E-2</v>
      </c>
      <c r="AV87" s="290">
        <f t="shared" ca="1" si="53"/>
        <v>0.21376993743687422</v>
      </c>
      <c r="AW87" s="103"/>
      <c r="AX87" s="194" t="str">
        <f t="shared" si="54"/>
        <v/>
      </c>
      <c r="AY87" s="296" t="str">
        <f>IF(AND(B87=$BA$4,OR(down_payment&lt;=0,purchase_date="")),"N/A",IF(B87=$BA$4,XIRR(AX$4:AX87,A$4:A87),""))</f>
        <v/>
      </c>
      <c r="BA87" s="178"/>
    </row>
    <row r="88" spans="1:53">
      <c r="A88" s="181">
        <f t="shared" si="65"/>
        <v>42719</v>
      </c>
      <c r="B88" s="182">
        <f t="shared" si="55"/>
        <v>84</v>
      </c>
      <c r="C88" s="183">
        <f>C87+(C87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8" s="183">
        <f t="shared" si="44"/>
        <v>12812.904000000002</v>
      </c>
      <c r="E88" s="184">
        <f t="shared" si="56"/>
        <v>243445.17600000001</v>
      </c>
      <c r="F88" s="141"/>
      <c r="G88" s="185">
        <f>IF(Input!$I$7="",0,IF(B88=Input!$I$7,Input!$I$6,IF(B88=Input!$I$7+12,Input!$I$6*(1+annual_incr_proptax),IF(B88=Input!$I$7+24,Input!$I$6*(1+annual_incr_proptax)^2,IF(B88=Input!$I$7+36,Input!$I$6*(1+annual_incr_proptax)^3,IF(B88=Input!$I$7+48,Input!$I$6*(1+annual_incr_proptax)^4,IF(B88=Input!$I$7+60,Input!$I$6*(1+annual_incr_proptax)^5,IF(B88=Input!$I$7+72,Input!$I$6*(1+annual_incr_proptax)^6,IF(B88=Input!$I$7+84,Input!$I$6*(1+annual_incr_proptax)^7,IF(B88=Input!$I$7+96,Input!$I$6*(1+annual_incr_proptax)^8,IF(B88=Input!$I$7+108,Input!$I$6*(1+annual_incr_proptax)^9,IF(B88=Input!$I$7+120,Input!$I$6*(1+annual_incr_proptax)^10,0))))))))))))</f>
        <v>0</v>
      </c>
      <c r="H88" s="183">
        <f>IF(Input!$I$10="",0,IF(B88=Input!$I$10,Input!$I$9,IF(B88=Input!$I$10+12,Input!$I$9*(1+annual_incr_ins),IF(B88=Input!$I$10+24,Input!$I$9*(1+annual_incr_ins)^2,IF(B88=Input!$I$10+36,Input!$I$9*(1+annual_incr_ins)^3,IF(B88=Input!$I$10+48,Input!$I$9*(1+annual_incr_ins)^4,IF(B88=Input!$I$10+60,Input!$I$9*(1+annual_incr_ins)^5,IF(B88=Input!$I$10+72,Input!$I$9*(1+annual_incr_ins)^6,IF(B88=Input!$I$10+84,Input!$I$9*(1+annual_incr_ins)^7,IF(B88=Input!$I$10+96,Input!$I$9*(1+annual_incr_ins)^8,IF(B88=Input!$I$10+108,Input!$I$9*(1+annual_incr_ins)^9,IF(B88=Input!$I$10+120,Input!$I$9*(1+annual_incr_ins)^10,0))))))))))))</f>
        <v>0</v>
      </c>
      <c r="I88" s="183">
        <f>IF(OR(Input!$I$13="",B88&lt;Input!$I$13),0,IF(AND(B88&gt;=Input!$I$13,B88&lt;Input!$I$13+12),Input!$I$12,IF(B88=Input!$I$13+12,Input!$I$12*(1+annual_incr_util),IF(B88=Input!$I$13+24,Input!$I$12*(1+annual_incr_util)^2,IF(B88=Input!$I$13+36,Input!$I$12*(1+annual_incr_util)^3,IF(B88=Input!$I$13+48,Input!$I$12*(1+annual_incr_util)^4,IF(B88=Input!$I$13+60,Input!$I$12*(1+annual_incr_util)^5,IF(B88=Input!$I$13+72,Input!$I$12*(1+annual_incr_util)^6,IF(B88=Input!$I$13+84,Input!$I$12*(1+annual_incr_util)^7,IF(B88=Input!$I$13+96,Input!$I$12*(1+annual_incr_util)^8,IF(B88=Input!$I$13+108,Input!$I$12*(1+annual_incr_util)^9,IF(B88=Input!$I$13+120,Input!$I$12*(1+annual_incr_util)^10,I87))))))))))))</f>
        <v>545.19626978723227</v>
      </c>
      <c r="J88" s="183">
        <f>IF(Input!$I$16="",0,IF(B88=Input!$I$16,Input!$I$15,IF(B88=Input!$I$16+12,Input!$I$15*(1+annual_incr_advtg),IF(B88=Input!$I$16+24,Input!$I$15*(1+annual_incr_advtg)^2,IF(B88=Input!$I$16+36,Input!$I$15*(1+annual_incr_advtg)^3,IF(B88=Input!$I$16+48,Input!$I$15*(1+annual_incr_advtg)^4,IF(B88=Input!$I$16+60,Input!$I$15*(1+annual_incr_advtg)^5,IF(B88=Input!$I$16+72,Input!$I$15*(1+annual_incr_advtg)^6,IF(B88=Input!$I$16+84,Input!$I$15*(1+annual_incr_advtg)^7,IF(B88=Input!$I$16+96,Input!$I$15*(1+annual_incr_advtg)^8,IF(B88=Input!$I$16+108,Input!$I$15*(1+annual_incr_advtg)^9,IF(B88=Input!$I$16+120,Input!$I$15*(1+annual_incr_advtg)^10,0))))))))))))</f>
        <v>0</v>
      </c>
      <c r="K88" s="183">
        <f>IF(Input!$I$19="",0,IF(B88=Input!$I$19,Input!$I$18,IF(B88=Input!$I$19+12,Input!$I$18*(1+annual_incr_other1),IF(B88=Input!$I$19+24,Input!$I$18*(1+annual_incr_other1)^2,IF(B88=Input!$I$19+36,Input!$I$18*(1+annual_incr_other1)^3,IF(B88=Input!$I$19+48,Input!$I$18*(1+annual_incr_other1)^4,IF(B88=Input!$I$19+60,Input!$I$18*(1+annual_incr_other1)^5,IF(B88=Input!$I$19+72,Input!$I$18*(1+annual_incr_other1)^6,IF(B88=Input!$I$19+84,Input!$I$18*(1+annual_incr_other1)^7,IF(B88=Input!$I$19+96,Input!$I$18*(1+annual_incr_other1)^8,IF(B88=Input!$I$19+108,Input!$I$18*(1+annual_incr_other1)^9,IF(B88=Input!$I$19+120,Input!$I$18*(1+annual_incr_other1)^10,0))))))))))))</f>
        <v>0</v>
      </c>
      <c r="L88" s="183">
        <f>IF(OR(Input!$I$22="",B88&lt;Input!$I$22),0,IF(AND(B88&gt;=Input!$I$22,B88&lt;Input!$I$22+12),Input!$I$21,IF(B88=Input!$I$22+12,Input!$I$21*(1+annual_incr_other2),IF(B88=Input!$I$22+24,Input!$I$21*(1+annual_incr_other2)^2,IF(B88=Input!$I$22+36,Input!$I$21*(1+annual_incr_other2)^3,IF(B88=Input!$I$22+48,Input!$I$21*(1+annual_incr_other2)^4,IF(B88=Input!$I$22+60,Input!$I$21*(1+annual_incr_other2)^5,IF(B88=Input!$I$22+72,Input!$I$21*(1+annual_incr_other2)^6,IF(B88=Input!$I$22+84,Input!$I$21*(1+annual_incr_other2)^7,IF(B88=Input!$I$22+96,Input!$I$21*(1+annual_incr_other2)^8,IF(B88=Input!$I$22+108,Input!$I$21*(1+annual_incr_other2)^9,IF(B88=Input!$I$22+120,Input!$I$21*(1+annual_incr_other2)^10,L87))))))))))))</f>
        <v>637.8313800170896</v>
      </c>
      <c r="M88" s="183">
        <f>IF(OR(Input!$I$27="",B88&lt;Input!$I$27),0,E88*mgmt_fee)</f>
        <v>2191.0065839999997</v>
      </c>
      <c r="N88" s="183">
        <f>IF(OR(Input!$I$29="",B88&lt;Input!$I$29),0,E88*repairs_maint)</f>
        <v>2677.8969360000001</v>
      </c>
      <c r="O88" s="186">
        <f>IF(Input!$I$31="",0,IF(OR(B88=Input!$I$31,B88=Input!$I$31+12,B88=Input!$I$31+24,B88=Input!$I$31+36,B88=Input!$I$31+48,B88=Input!$I$31+60,B88=Input!$I$31+72,B88=Input!$I$31+84,B88=Input!$I$31+96,B88=Input!$I$31+108,B88=Input!$I$31+120),E88*other_3,0))</f>
        <v>0</v>
      </c>
      <c r="P88" s="187">
        <f t="shared" si="57"/>
        <v>6051.9311698043221</v>
      </c>
      <c r="Q88" s="188">
        <f t="shared" si="58"/>
        <v>237393.24483019568</v>
      </c>
      <c r="R88" s="160"/>
      <c r="S88" s="189">
        <f>IF(AND(leveraged_property,B88&lt;=amort_period),-IPMT(interest_rate/12,B88,amort_period,loan_amount),0)</f>
        <v>38741.576473078792</v>
      </c>
      <c r="T88" s="186">
        <f t="shared" si="59"/>
        <v>15198.378654886437</v>
      </c>
      <c r="U88" s="186">
        <f>IF(AND(leveraged_property,B88&lt;=amort_period),-PMT(interest_rate/12,amort_period,loan_amount),0)</f>
        <v>53939.95512796523</v>
      </c>
      <c r="V88" s="186">
        <f t="shared" si="60"/>
        <v>8437509.2154713925</v>
      </c>
      <c r="W88" s="160"/>
      <c r="X88" s="186">
        <f t="shared" si="61"/>
        <v>115583.24900390624</v>
      </c>
      <c r="Y88" s="186">
        <f t="shared" si="62"/>
        <v>27961899.599025026</v>
      </c>
      <c r="Z88" s="183">
        <f t="shared" si="45"/>
        <v>32977262.742249761</v>
      </c>
      <c r="AA88" s="188">
        <f t="shared" ca="1" si="46"/>
        <v>32977262.742249761</v>
      </c>
      <c r="AB88" s="160"/>
      <c r="AC88" s="190">
        <f>Input!$C$25/12</f>
        <v>26538.461538461535</v>
      </c>
      <c r="AD88" s="183">
        <f t="shared" si="47"/>
        <v>172113.20681865534</v>
      </c>
      <c r="AE88" s="186">
        <f t="shared" si="48"/>
        <v>51633.9620455966</v>
      </c>
      <c r="AF88" s="183">
        <f ca="1">IF(AA88=0,0,AA88-(total_initial_cost-SUM($AC$5:AC88)))</f>
        <v>14506493.511480529</v>
      </c>
      <c r="AG88" s="183">
        <f t="shared" ca="1" si="49"/>
        <v>2901298.7022961061</v>
      </c>
      <c r="AH88" s="186">
        <f t="shared" ca="1" si="63"/>
        <v>30075964.039953656</v>
      </c>
      <c r="AI88" s="103"/>
      <c r="AJ88" s="191">
        <f t="shared" ca="1" si="50"/>
        <v>9375964.0399536565</v>
      </c>
      <c r="AK88" s="191">
        <f t="shared" ca="1" si="66"/>
        <v>11069355.39366274</v>
      </c>
      <c r="AL88" s="298">
        <f t="shared" ca="1" si="67"/>
        <v>0.9883353030056018</v>
      </c>
      <c r="AM88" s="298">
        <f t="shared" si="68"/>
        <v>0.18792625783440753</v>
      </c>
      <c r="AN88" s="298">
        <f t="shared" si="69"/>
        <v>0.13294944682516652</v>
      </c>
      <c r="AO88" s="299">
        <f>IF(leveraged_property,SUM(Q77:Q88)/SUM(U77:U88),"N/A")</f>
        <v>4.2517238887080904</v>
      </c>
      <c r="AP88" s="103"/>
      <c r="AQ88" s="186">
        <f t="shared" si="64"/>
        <v>183453.28970223045</v>
      </c>
      <c r="AR88" s="186">
        <f t="shared" ca="1" si="51"/>
        <v>24723206.816480599</v>
      </c>
      <c r="AS88" s="289">
        <f ca="1">IF(down_payment&lt;=0,"N/A",IRR(($AQ$4:AQ87,AR88),))</f>
        <v>1.6588076579328211E-2</v>
      </c>
      <c r="AT88" s="291">
        <f t="shared" ca="1" si="52"/>
        <v>0.2182604332775917</v>
      </c>
      <c r="AU88" s="289">
        <f ca="1">IF(down_payment&lt;=0,"N/A",MIRR(($AQ$4:AQ87,AR88),finance_rate,reinvestment_rate))</f>
        <v>1.6212733032254567E-2</v>
      </c>
      <c r="AV88" s="291">
        <f t="shared" ca="1" si="53"/>
        <v>0.21287372329304155</v>
      </c>
      <c r="AW88" s="103"/>
      <c r="AX88" s="195" t="str">
        <f t="shared" si="54"/>
        <v/>
      </c>
      <c r="AY88" s="296" t="str">
        <f>IF(AND(B88=$BA$4,OR(down_payment&lt;=0,purchase_date="")),"N/A",IF(B88=$BA$4,XIRR(AX$4:AX88,A$4:A88),""))</f>
        <v/>
      </c>
      <c r="BA88" s="178"/>
    </row>
    <row r="89" spans="1:53">
      <c r="A89" s="137">
        <f t="shared" si="65"/>
        <v>42750</v>
      </c>
      <c r="B89" s="138">
        <f t="shared" si="55"/>
        <v>85</v>
      </c>
      <c r="C89" s="139">
        <f>C88+(C88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89" s="139">
        <f t="shared" si="44"/>
        <v>12812.904000000002</v>
      </c>
      <c r="E89" s="140">
        <f t="shared" si="56"/>
        <v>243445.17600000001</v>
      </c>
      <c r="F89" s="141"/>
      <c r="G89" s="157">
        <f>IF(Input!$I$7="",0,IF(B89=Input!$I$7,Input!$I$6,IF(B89=Input!$I$7+12,Input!$I$6*(1+annual_incr_proptax),IF(B89=Input!$I$7+24,Input!$I$6*(1+annual_incr_proptax)^2,IF(B89=Input!$I$7+36,Input!$I$6*(1+annual_incr_proptax)^3,IF(B89=Input!$I$7+48,Input!$I$6*(1+annual_incr_proptax)^4,IF(B89=Input!$I$7+60,Input!$I$6*(1+annual_incr_proptax)^5,IF(B89=Input!$I$7+72,Input!$I$6*(1+annual_incr_proptax)^6,IF(B89=Input!$I$7+84,Input!$I$6*(1+annual_incr_proptax)^7,IF(B89=Input!$I$7+96,Input!$I$6*(1+annual_incr_proptax)^8,IF(B89=Input!$I$7+108,Input!$I$6*(1+annual_incr_proptax)^9,IF(B89=Input!$I$7+120,Input!$I$6*(1+annual_incr_proptax)^10,0))))))))))))</f>
        <v>0</v>
      </c>
      <c r="H89" s="139">
        <f>IF(Input!$I$10="",0,IF(B89=Input!$I$10,Input!$I$9,IF(B89=Input!$I$10+12,Input!$I$9*(1+annual_incr_ins),IF(B89=Input!$I$10+24,Input!$I$9*(1+annual_incr_ins)^2,IF(B89=Input!$I$10+36,Input!$I$9*(1+annual_incr_ins)^3,IF(B89=Input!$I$10+48,Input!$I$9*(1+annual_incr_ins)^4,IF(B89=Input!$I$10+60,Input!$I$9*(1+annual_incr_ins)^5,IF(B89=Input!$I$10+72,Input!$I$9*(1+annual_incr_ins)^6,IF(B89=Input!$I$10+84,Input!$I$9*(1+annual_incr_ins)^7,IF(B89=Input!$I$10+96,Input!$I$9*(1+annual_incr_ins)^8,IF(B89=Input!$I$10+108,Input!$I$9*(1+annual_incr_ins)^9,IF(B89=Input!$I$10+120,Input!$I$9*(1+annual_incr_ins)^10,0))))))))))))</f>
        <v>0</v>
      </c>
      <c r="I89" s="139">
        <f>IF(OR(Input!$I$13="",B89&lt;Input!$I$13),0,IF(AND(B89&gt;=Input!$I$13,B89&lt;Input!$I$13+12),Input!$I$12,IF(B89=Input!$I$13+12,Input!$I$12*(1+annual_incr_util),IF(B89=Input!$I$13+24,Input!$I$12*(1+annual_incr_util)^2,IF(B89=Input!$I$13+36,Input!$I$12*(1+annual_incr_util)^3,IF(B89=Input!$I$13+48,Input!$I$12*(1+annual_incr_util)^4,IF(B89=Input!$I$13+60,Input!$I$12*(1+annual_incr_util)^5,IF(B89=Input!$I$13+72,Input!$I$12*(1+annual_incr_util)^6,IF(B89=Input!$I$13+84,Input!$I$12*(1+annual_incr_util)^7,IF(B89=Input!$I$13+96,Input!$I$12*(1+annual_incr_util)^8,IF(B89=Input!$I$13+108,Input!$I$12*(1+annual_incr_util)^9,IF(B89=Input!$I$13+120,Input!$I$12*(1+annual_incr_util)^10,I88))))))))))))</f>
        <v>545.19626978723227</v>
      </c>
      <c r="J89" s="139">
        <f>IF(Input!$I$16="",0,IF(B89=Input!$I$16,Input!$I$15,IF(B89=Input!$I$16+12,Input!$I$15*(1+annual_incr_advtg),IF(B89=Input!$I$16+24,Input!$I$15*(1+annual_incr_advtg)^2,IF(B89=Input!$I$16+36,Input!$I$15*(1+annual_incr_advtg)^3,IF(B89=Input!$I$16+48,Input!$I$15*(1+annual_incr_advtg)^4,IF(B89=Input!$I$16+60,Input!$I$15*(1+annual_incr_advtg)^5,IF(B89=Input!$I$16+72,Input!$I$15*(1+annual_incr_advtg)^6,IF(B89=Input!$I$16+84,Input!$I$15*(1+annual_incr_advtg)^7,IF(B89=Input!$I$16+96,Input!$I$15*(1+annual_incr_advtg)^8,IF(B89=Input!$I$16+108,Input!$I$15*(1+annual_incr_advtg)^9,IF(B89=Input!$I$16+120,Input!$I$15*(1+annual_incr_advtg)^10,0))))))))))))</f>
        <v>0</v>
      </c>
      <c r="K89" s="139">
        <f>IF(Input!$I$19="",0,IF(B89=Input!$I$19,Input!$I$18,IF(B89=Input!$I$19+12,Input!$I$18*(1+annual_incr_other1),IF(B89=Input!$I$19+24,Input!$I$18*(1+annual_incr_other1)^2,IF(B89=Input!$I$19+36,Input!$I$18*(1+annual_incr_other1)^3,IF(B89=Input!$I$19+48,Input!$I$18*(1+annual_incr_other1)^4,IF(B89=Input!$I$19+60,Input!$I$18*(1+annual_incr_other1)^5,IF(B89=Input!$I$19+72,Input!$I$18*(1+annual_incr_other1)^6,IF(B89=Input!$I$19+84,Input!$I$18*(1+annual_incr_other1)^7,IF(B89=Input!$I$19+96,Input!$I$18*(1+annual_incr_other1)^8,IF(B89=Input!$I$19+108,Input!$I$18*(1+annual_incr_other1)^9,IF(B89=Input!$I$19+120,Input!$I$18*(1+annual_incr_other1)^10,0))))))))))))</f>
        <v>0</v>
      </c>
      <c r="L89" s="156">
        <f>IF(OR(Input!$I$22="",B89&lt;Input!$I$22),0,IF(AND(B89&gt;=Input!$I$22,B89&lt;Input!$I$22+12),Input!$I$21,IF(B89=Input!$I$22+12,Input!$I$21*(1+annual_incr_other2),IF(B89=Input!$I$22+24,Input!$I$21*(1+annual_incr_other2)^2,IF(B89=Input!$I$22+36,Input!$I$21*(1+annual_incr_other2)^3,IF(B89=Input!$I$22+48,Input!$I$21*(1+annual_incr_other2)^4,IF(B89=Input!$I$22+60,Input!$I$21*(1+annual_incr_other2)^5,IF(B89=Input!$I$22+72,Input!$I$21*(1+annual_incr_other2)^6,IF(B89=Input!$I$22+84,Input!$I$21*(1+annual_incr_other2)^7,IF(B89=Input!$I$22+96,Input!$I$21*(1+annual_incr_other2)^8,IF(B89=Input!$I$22+108,Input!$I$21*(1+annual_incr_other2)^9,IF(B89=Input!$I$22+120,Input!$I$21*(1+annual_incr_other2)^10,L88))))))))))))</f>
        <v>653.77716451751689</v>
      </c>
      <c r="M89" s="139">
        <f>IF(OR(Input!$I$27="",B89&lt;Input!$I$27),0,E89*mgmt_fee)</f>
        <v>2191.0065839999997</v>
      </c>
      <c r="N89" s="139">
        <f>IF(OR(Input!$I$29="",B89&lt;Input!$I$29),0,E89*repairs_maint)</f>
        <v>2677.8969360000001</v>
      </c>
      <c r="O89" s="149">
        <f>IF(Input!$I$31="",0,IF(OR(B89=Input!$I$31,B89=Input!$I$31+12,B89=Input!$I$31+24,B89=Input!$I$31+36,B89=Input!$I$31+48,B89=Input!$I$31+60,B89=Input!$I$31+72,B89=Input!$I$31+84,B89=Input!$I$31+96,B89=Input!$I$31+108,B89=Input!$I$31+120),E89*other_3,0))</f>
        <v>0</v>
      </c>
      <c r="P89" s="158">
        <f t="shared" si="57"/>
        <v>6067.8769543047492</v>
      </c>
      <c r="Q89" s="159">
        <f t="shared" si="58"/>
        <v>237377.29904569525</v>
      </c>
      <c r="R89" s="160"/>
      <c r="S89" s="161">
        <f>IF(AND(leveraged_property,B89&lt;=amort_period),-IPMT(interest_rate/12,B89,amort_period,loan_amount),0)</f>
        <v>38671.917237577225</v>
      </c>
      <c r="T89" s="149">
        <f t="shared" si="59"/>
        <v>15268.037890388005</v>
      </c>
      <c r="U89" s="149">
        <f>IF(AND(leveraged_property,B89&lt;=amort_period),-PMT(interest_rate/12,amort_period,loan_amount),0)</f>
        <v>53939.95512796523</v>
      </c>
      <c r="V89" s="149">
        <f t="shared" si="60"/>
        <v>8422241.1775810048</v>
      </c>
      <c r="W89" s="160"/>
      <c r="X89" s="149">
        <f t="shared" si="61"/>
        <v>121362.41145410156</v>
      </c>
      <c r="Y89" s="162">
        <f t="shared" si="62"/>
        <v>28078407.514020965</v>
      </c>
      <c r="Z89" s="156">
        <f t="shared" si="45"/>
        <v>33463549.578414395</v>
      </c>
      <c r="AA89" s="163">
        <f t="shared" ca="1" si="46"/>
        <v>33463549.578414395</v>
      </c>
      <c r="AB89" s="160"/>
      <c r="AC89" s="164">
        <f>Input!$C$25/12</f>
        <v>26538.461538461535</v>
      </c>
      <c r="AD89" s="139">
        <f t="shared" si="47"/>
        <v>172166.92026965649</v>
      </c>
      <c r="AE89" s="149">
        <f t="shared" si="48"/>
        <v>51650.076080896943</v>
      </c>
      <c r="AF89" s="139">
        <f ca="1">IF(AA89=0,0,AA89-(total_initial_cost-SUM($AC$5:AC89)))</f>
        <v>15019318.809183624</v>
      </c>
      <c r="AG89" s="139">
        <f t="shared" ca="1" si="49"/>
        <v>3003863.7618367248</v>
      </c>
      <c r="AH89" s="149">
        <f t="shared" ca="1" si="63"/>
        <v>30459685.816577669</v>
      </c>
      <c r="AI89" s="103"/>
      <c r="AJ89" s="165">
        <f t="shared" ca="1" si="50"/>
        <v>9759685.8165776692</v>
      </c>
      <c r="AK89" s="165">
        <f t="shared" ca="1" si="66"/>
        <v>11453624.670996036</v>
      </c>
      <c r="AL89" s="300">
        <f t="shared" ca="1" si="67"/>
        <v>1.0226450599103605</v>
      </c>
      <c r="AM89" s="300">
        <f t="shared" si="68"/>
        <v>0.18792330185885717</v>
      </c>
      <c r="AN89" s="300">
        <f t="shared" si="69"/>
        <v>0.13294784745675281</v>
      </c>
      <c r="AO89" s="301">
        <f>IF(leveraged_property,SUM(Q78:Q89)/SUM(U78:U89),"N/A")</f>
        <v>4.2516727408992514</v>
      </c>
      <c r="AP89" s="103"/>
      <c r="AQ89" s="149">
        <f t="shared" si="64"/>
        <v>183437.34391773003</v>
      </c>
      <c r="AR89" s="149">
        <f t="shared" ca="1" si="51"/>
        <v>25224745.744751118</v>
      </c>
      <c r="AS89" s="288">
        <f ca="1">IF(down_payment&lt;=0,"N/A",IRR(($AQ$4:AQ88,AR89),))</f>
        <v>1.6684831861657451E-2</v>
      </c>
      <c r="AT89" s="290">
        <f t="shared" ca="1" si="52"/>
        <v>0.21965255885054891</v>
      </c>
      <c r="AU89" s="288">
        <f ca="1">IF(down_payment&lt;=0,"N/A",MIRR(($AQ$4:AQ88,AR89),finance_rate,reinvestment_rate))</f>
        <v>1.6284465074411614E-2</v>
      </c>
      <c r="AV89" s="290">
        <f t="shared" ca="1" si="53"/>
        <v>0.21390148873335724</v>
      </c>
      <c r="AW89" s="103"/>
      <c r="AX89" s="194" t="str">
        <f t="shared" si="54"/>
        <v/>
      </c>
      <c r="AY89" s="296" t="str">
        <f>IF(AND(B89=$BA$4,OR(down_payment&lt;=0,purchase_date="")),"N/A",IF(B89=$BA$4,XIRR(AX$4:AX89,A$4:A89),""))</f>
        <v/>
      </c>
      <c r="BA89" s="178"/>
    </row>
    <row r="90" spans="1:53">
      <c r="A90" s="137">
        <f t="shared" si="65"/>
        <v>42781</v>
      </c>
      <c r="B90" s="138">
        <f t="shared" si="55"/>
        <v>86</v>
      </c>
      <c r="C90" s="139">
        <f>C89+(C89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0" s="139">
        <f t="shared" si="44"/>
        <v>12812.904000000002</v>
      </c>
      <c r="E90" s="140">
        <f t="shared" si="56"/>
        <v>243445.17600000001</v>
      </c>
      <c r="F90" s="141"/>
      <c r="G90" s="157">
        <f>IF(Input!$I$7="",0,IF(B90=Input!$I$7,Input!$I$6,IF(B90=Input!$I$7+12,Input!$I$6*(1+annual_incr_proptax),IF(B90=Input!$I$7+24,Input!$I$6*(1+annual_incr_proptax)^2,IF(B90=Input!$I$7+36,Input!$I$6*(1+annual_incr_proptax)^3,IF(B90=Input!$I$7+48,Input!$I$6*(1+annual_incr_proptax)^4,IF(B90=Input!$I$7+60,Input!$I$6*(1+annual_incr_proptax)^5,IF(B90=Input!$I$7+72,Input!$I$6*(1+annual_incr_proptax)^6,IF(B90=Input!$I$7+84,Input!$I$6*(1+annual_incr_proptax)^7,IF(B90=Input!$I$7+96,Input!$I$6*(1+annual_incr_proptax)^8,IF(B90=Input!$I$7+108,Input!$I$6*(1+annual_incr_proptax)^9,IF(B90=Input!$I$7+120,Input!$I$6*(1+annual_incr_proptax)^10,0))))))))))))</f>
        <v>59797.125350028939</v>
      </c>
      <c r="H90" s="139">
        <f>IF(Input!$I$10="",0,IF(B90=Input!$I$10,Input!$I$9,IF(B90=Input!$I$10+12,Input!$I$9*(1+annual_incr_ins),IF(B90=Input!$I$10+24,Input!$I$9*(1+annual_incr_ins)^2,IF(B90=Input!$I$10+36,Input!$I$9*(1+annual_incr_ins)^3,IF(B90=Input!$I$10+48,Input!$I$9*(1+annual_incr_ins)^4,IF(B90=Input!$I$10+60,Input!$I$9*(1+annual_incr_ins)^5,IF(B90=Input!$I$10+72,Input!$I$9*(1+annual_incr_ins)^6,IF(B90=Input!$I$10+84,Input!$I$9*(1+annual_incr_ins)^7,IF(B90=Input!$I$10+96,Input!$I$9*(1+annual_incr_ins)^8,IF(B90=Input!$I$10+108,Input!$I$9*(1+annual_incr_ins)^9,IF(B90=Input!$I$10+120,Input!$I$9*(1+annual_incr_ins)^10,0))))))))))))</f>
        <v>0</v>
      </c>
      <c r="I90" s="139">
        <f>IF(OR(Input!$I$13="",B90&lt;Input!$I$13),0,IF(AND(B90&gt;=Input!$I$13,B90&lt;Input!$I$13+12),Input!$I$12,IF(B90=Input!$I$13+12,Input!$I$12*(1+annual_incr_util),IF(B90=Input!$I$13+24,Input!$I$12*(1+annual_incr_util)^2,IF(B90=Input!$I$13+36,Input!$I$12*(1+annual_incr_util)^3,IF(B90=Input!$I$13+48,Input!$I$12*(1+annual_incr_util)^4,IF(B90=Input!$I$13+60,Input!$I$12*(1+annual_incr_util)^5,IF(B90=Input!$I$13+72,Input!$I$12*(1+annual_incr_util)^6,IF(B90=Input!$I$13+84,Input!$I$12*(1+annual_incr_util)^7,IF(B90=Input!$I$13+96,Input!$I$12*(1+annual_incr_util)^8,IF(B90=Input!$I$13+108,Input!$I$12*(1+annual_incr_util)^9,IF(B90=Input!$I$13+120,Input!$I$12*(1+annual_incr_util)^10,I89))))))))))))</f>
        <v>545.19626978723227</v>
      </c>
      <c r="J90" s="139">
        <f>IF(Input!$I$16="",0,IF(B90=Input!$I$16,Input!$I$15,IF(B90=Input!$I$16+12,Input!$I$15*(1+annual_incr_advtg),IF(B90=Input!$I$16+24,Input!$I$15*(1+annual_incr_advtg)^2,IF(B90=Input!$I$16+36,Input!$I$15*(1+annual_incr_advtg)^3,IF(B90=Input!$I$16+48,Input!$I$15*(1+annual_incr_advtg)^4,IF(B90=Input!$I$16+60,Input!$I$15*(1+annual_incr_advtg)^5,IF(B90=Input!$I$16+72,Input!$I$15*(1+annual_incr_advtg)^6,IF(B90=Input!$I$16+84,Input!$I$15*(1+annual_incr_advtg)^7,IF(B90=Input!$I$16+96,Input!$I$15*(1+annual_incr_advtg)^8,IF(B90=Input!$I$16+108,Input!$I$15*(1+annual_incr_advtg)^9,IF(B90=Input!$I$16+120,Input!$I$15*(1+annual_incr_advtg)^10,0))))))))))))</f>
        <v>0</v>
      </c>
      <c r="K90" s="139">
        <f>IF(Input!$I$19="",0,IF(B90=Input!$I$19,Input!$I$18,IF(B90=Input!$I$19+12,Input!$I$18*(1+annual_incr_other1),IF(B90=Input!$I$19+24,Input!$I$18*(1+annual_incr_other1)^2,IF(B90=Input!$I$19+36,Input!$I$18*(1+annual_incr_other1)^3,IF(B90=Input!$I$19+48,Input!$I$18*(1+annual_incr_other1)^4,IF(B90=Input!$I$19+60,Input!$I$18*(1+annual_incr_other1)^5,IF(B90=Input!$I$19+72,Input!$I$18*(1+annual_incr_other1)^6,IF(B90=Input!$I$19+84,Input!$I$18*(1+annual_incr_other1)^7,IF(B90=Input!$I$19+96,Input!$I$18*(1+annual_incr_other1)^8,IF(B90=Input!$I$19+108,Input!$I$18*(1+annual_incr_other1)^9,IF(B90=Input!$I$19+120,Input!$I$18*(1+annual_incr_other1)^10,0))))))))))))</f>
        <v>0</v>
      </c>
      <c r="L90" s="156">
        <f>IF(OR(Input!$I$22="",B90&lt;Input!$I$22),0,IF(AND(B90&gt;=Input!$I$22,B90&lt;Input!$I$22+12),Input!$I$21,IF(B90=Input!$I$22+12,Input!$I$21*(1+annual_incr_other2),IF(B90=Input!$I$22+24,Input!$I$21*(1+annual_incr_other2)^2,IF(B90=Input!$I$22+36,Input!$I$21*(1+annual_incr_other2)^3,IF(B90=Input!$I$22+48,Input!$I$21*(1+annual_incr_other2)^4,IF(B90=Input!$I$22+60,Input!$I$21*(1+annual_incr_other2)^5,IF(B90=Input!$I$22+72,Input!$I$21*(1+annual_incr_other2)^6,IF(B90=Input!$I$22+84,Input!$I$21*(1+annual_incr_other2)^7,IF(B90=Input!$I$22+96,Input!$I$21*(1+annual_incr_other2)^8,IF(B90=Input!$I$22+108,Input!$I$21*(1+annual_incr_other2)^9,IF(B90=Input!$I$22+120,Input!$I$21*(1+annual_incr_other2)^10,L89))))))))))))</f>
        <v>653.77716451751689</v>
      </c>
      <c r="M90" s="139">
        <f>IF(OR(Input!$I$27="",B90&lt;Input!$I$27),0,E90*mgmt_fee)</f>
        <v>2191.0065839999997</v>
      </c>
      <c r="N90" s="139">
        <f>IF(OR(Input!$I$29="",B90&lt;Input!$I$29),0,E90*repairs_maint)</f>
        <v>2677.8969360000001</v>
      </c>
      <c r="O90" s="149">
        <f>IF(Input!$I$31="",0,IF(OR(B90=Input!$I$31,B90=Input!$I$31+12,B90=Input!$I$31+24,B90=Input!$I$31+36,B90=Input!$I$31+48,B90=Input!$I$31+60,B90=Input!$I$31+72,B90=Input!$I$31+84,B90=Input!$I$31+96,B90=Input!$I$31+108,B90=Input!$I$31+120),E90*other_3,0))</f>
        <v>3116.0982528000004</v>
      </c>
      <c r="P90" s="158">
        <f t="shared" si="57"/>
        <v>68981.100557133686</v>
      </c>
      <c r="Q90" s="159">
        <f t="shared" si="58"/>
        <v>174464.07544286631</v>
      </c>
      <c r="R90" s="160"/>
      <c r="S90" s="161">
        <f>IF(AND(leveraged_property,B90&lt;=amort_period),-IPMT(interest_rate/12,B90,amort_period,loan_amount),0)</f>
        <v>38601.938730579612</v>
      </c>
      <c r="T90" s="149">
        <f t="shared" si="59"/>
        <v>15338.016397385618</v>
      </c>
      <c r="U90" s="149">
        <f>IF(AND(leveraged_property,B90&lt;=amort_period),-PMT(interest_rate/12,amort_period,loan_amount),0)</f>
        <v>53939.95512796523</v>
      </c>
      <c r="V90" s="149">
        <f t="shared" si="60"/>
        <v>8406903.1611836199</v>
      </c>
      <c r="W90" s="160"/>
      <c r="X90" s="149">
        <f t="shared" si="61"/>
        <v>121362.41145410156</v>
      </c>
      <c r="Y90" s="162">
        <f t="shared" si="62"/>
        <v>28194915.429016903</v>
      </c>
      <c r="Z90" s="156">
        <f t="shared" si="45"/>
        <v>33918364.781496294</v>
      </c>
      <c r="AA90" s="163">
        <f t="shared" ca="1" si="46"/>
        <v>33918364.781496294</v>
      </c>
      <c r="AB90" s="160"/>
      <c r="AC90" s="164">
        <f>Input!$C$25/12</f>
        <v>26538.461538461535</v>
      </c>
      <c r="AD90" s="139">
        <f t="shared" si="47"/>
        <v>109323.67517382515</v>
      </c>
      <c r="AE90" s="149">
        <f t="shared" si="48"/>
        <v>32797.102552147546</v>
      </c>
      <c r="AF90" s="139">
        <f ca="1">IF(AA90=0,0,AA90-(total_initial_cost-SUM($AC$5:AC90)))</f>
        <v>15500672.473803982</v>
      </c>
      <c r="AG90" s="139">
        <f t="shared" ca="1" si="49"/>
        <v>3100134.4947607964</v>
      </c>
      <c r="AH90" s="149">
        <f t="shared" ca="1" si="63"/>
        <v>30818230.286735497</v>
      </c>
      <c r="AI90" s="103"/>
      <c r="AJ90" s="165">
        <f t="shared" ca="1" si="50"/>
        <v>10118230.286735497</v>
      </c>
      <c r="AK90" s="165">
        <f t="shared" ca="1" si="66"/>
        <v>11811303.769951168</v>
      </c>
      <c r="AL90" s="300">
        <f t="shared" ca="1" si="67"/>
        <v>1.0545806937456401</v>
      </c>
      <c r="AM90" s="300">
        <f t="shared" si="68"/>
        <v>0.18773979900724991</v>
      </c>
      <c r="AN90" s="300">
        <f t="shared" si="69"/>
        <v>0.1328485608896996</v>
      </c>
      <c r="AO90" s="301">
        <f>IF(leveraged_property,SUM(Q79:Q90)/SUM(U79:U90),"N/A")</f>
        <v>4.2484975560523148</v>
      </c>
      <c r="AP90" s="103"/>
      <c r="AQ90" s="149">
        <f t="shared" si="64"/>
        <v>120524.12031490108</v>
      </c>
      <c r="AR90" s="149">
        <f t="shared" ca="1" si="51"/>
        <v>25631985.740627579</v>
      </c>
      <c r="AS90" s="288">
        <f ca="1">IF(down_payment&lt;=0,"N/A",IRR(($AQ$4:AQ89,AR90),))</f>
        <v>1.6743110189218296E-2</v>
      </c>
      <c r="AT90" s="290">
        <f t="shared" ca="1" si="52"/>
        <v>0.22049177732932179</v>
      </c>
      <c r="AU90" s="288">
        <f ca="1">IF(down_payment&lt;=0,"N/A",MIRR(($AQ$4:AQ89,AR90),finance_rate,reinvestment_rate))</f>
        <v>1.632602100940983E-2</v>
      </c>
      <c r="AV90" s="290">
        <f t="shared" ca="1" si="53"/>
        <v>0.21449726079651854</v>
      </c>
      <c r="AW90" s="103"/>
      <c r="AX90" s="194" t="str">
        <f t="shared" si="54"/>
        <v/>
      </c>
      <c r="AY90" s="296" t="str">
        <f>IF(AND(B90=$BA$4,OR(down_payment&lt;=0,purchase_date="")),"N/A",IF(B90=$BA$4,XIRR(AX$4:AX90,A$4:A90),""))</f>
        <v/>
      </c>
      <c r="BA90" s="178"/>
    </row>
    <row r="91" spans="1:53">
      <c r="A91" s="137">
        <f t="shared" si="65"/>
        <v>42809</v>
      </c>
      <c r="B91" s="138">
        <f t="shared" si="55"/>
        <v>87</v>
      </c>
      <c r="C91" s="139">
        <f>C90+(C90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1" s="139">
        <f t="shared" si="44"/>
        <v>12812.904000000002</v>
      </c>
      <c r="E91" s="140">
        <f t="shared" si="56"/>
        <v>243445.17600000001</v>
      </c>
      <c r="F91" s="141"/>
      <c r="G91" s="157">
        <f>IF(Input!$I$7="",0,IF(B91=Input!$I$7,Input!$I$6,IF(B91=Input!$I$7+12,Input!$I$6*(1+annual_incr_proptax),IF(B91=Input!$I$7+24,Input!$I$6*(1+annual_incr_proptax)^2,IF(B91=Input!$I$7+36,Input!$I$6*(1+annual_incr_proptax)^3,IF(B91=Input!$I$7+48,Input!$I$6*(1+annual_incr_proptax)^4,IF(B91=Input!$I$7+60,Input!$I$6*(1+annual_incr_proptax)^5,IF(B91=Input!$I$7+72,Input!$I$6*(1+annual_incr_proptax)^6,IF(B91=Input!$I$7+84,Input!$I$6*(1+annual_incr_proptax)^7,IF(B91=Input!$I$7+96,Input!$I$6*(1+annual_incr_proptax)^8,IF(B91=Input!$I$7+108,Input!$I$6*(1+annual_incr_proptax)^9,IF(B91=Input!$I$7+120,Input!$I$6*(1+annual_incr_proptax)^10,0))))))))))))</f>
        <v>0</v>
      </c>
      <c r="H91" s="139">
        <f>IF(Input!$I$10="",0,IF(B91=Input!$I$10,Input!$I$9,IF(B91=Input!$I$10+12,Input!$I$9*(1+annual_incr_ins),IF(B91=Input!$I$10+24,Input!$I$9*(1+annual_incr_ins)^2,IF(B91=Input!$I$10+36,Input!$I$9*(1+annual_incr_ins)^3,IF(B91=Input!$I$10+48,Input!$I$9*(1+annual_incr_ins)^4,IF(B91=Input!$I$10+60,Input!$I$9*(1+annual_incr_ins)^5,IF(B91=Input!$I$10+72,Input!$I$9*(1+annual_incr_ins)^6,IF(B91=Input!$I$10+84,Input!$I$9*(1+annual_incr_ins)^7,IF(B91=Input!$I$10+96,Input!$I$9*(1+annual_incr_ins)^8,IF(B91=Input!$I$10+108,Input!$I$9*(1+annual_incr_ins)^9,IF(B91=Input!$I$10+120,Input!$I$9*(1+annual_incr_ins)^10,0))))))))))))</f>
        <v>0</v>
      </c>
      <c r="I91" s="139">
        <f>IF(OR(Input!$I$13="",B91&lt;Input!$I$13),0,IF(AND(B91&gt;=Input!$I$13,B91&lt;Input!$I$13+12),Input!$I$12,IF(B91=Input!$I$13+12,Input!$I$12*(1+annual_incr_util),IF(B91=Input!$I$13+24,Input!$I$12*(1+annual_incr_util)^2,IF(B91=Input!$I$13+36,Input!$I$12*(1+annual_incr_util)^3,IF(B91=Input!$I$13+48,Input!$I$12*(1+annual_incr_util)^4,IF(B91=Input!$I$13+60,Input!$I$12*(1+annual_incr_util)^5,IF(B91=Input!$I$13+72,Input!$I$12*(1+annual_incr_util)^6,IF(B91=Input!$I$13+84,Input!$I$12*(1+annual_incr_util)^7,IF(B91=Input!$I$13+96,Input!$I$12*(1+annual_incr_util)^8,IF(B91=Input!$I$13+108,Input!$I$12*(1+annual_incr_util)^9,IF(B91=Input!$I$13+120,Input!$I$12*(1+annual_incr_util)^10,I90))))))))))))</f>
        <v>545.19626978723227</v>
      </c>
      <c r="J91" s="139">
        <f>IF(Input!$I$16="",0,IF(B91=Input!$I$16,Input!$I$15,IF(B91=Input!$I$16+12,Input!$I$15*(1+annual_incr_advtg),IF(B91=Input!$I$16+24,Input!$I$15*(1+annual_incr_advtg)^2,IF(B91=Input!$I$16+36,Input!$I$15*(1+annual_incr_advtg)^3,IF(B91=Input!$I$16+48,Input!$I$15*(1+annual_incr_advtg)^4,IF(B91=Input!$I$16+60,Input!$I$15*(1+annual_incr_advtg)^5,IF(B91=Input!$I$16+72,Input!$I$15*(1+annual_incr_advtg)^6,IF(B91=Input!$I$16+84,Input!$I$15*(1+annual_incr_advtg)^7,IF(B91=Input!$I$16+96,Input!$I$15*(1+annual_incr_advtg)^8,IF(B91=Input!$I$16+108,Input!$I$15*(1+annual_incr_advtg)^9,IF(B91=Input!$I$16+120,Input!$I$15*(1+annual_incr_advtg)^10,0))))))))))))</f>
        <v>0</v>
      </c>
      <c r="K91" s="139">
        <f>IF(Input!$I$19="",0,IF(B91=Input!$I$19,Input!$I$18,IF(B91=Input!$I$19+12,Input!$I$18*(1+annual_incr_other1),IF(B91=Input!$I$19+24,Input!$I$18*(1+annual_incr_other1)^2,IF(B91=Input!$I$19+36,Input!$I$18*(1+annual_incr_other1)^3,IF(B91=Input!$I$19+48,Input!$I$18*(1+annual_incr_other1)^4,IF(B91=Input!$I$19+60,Input!$I$18*(1+annual_incr_other1)^5,IF(B91=Input!$I$19+72,Input!$I$18*(1+annual_incr_other1)^6,IF(B91=Input!$I$19+84,Input!$I$18*(1+annual_incr_other1)^7,IF(B91=Input!$I$19+96,Input!$I$18*(1+annual_incr_other1)^8,IF(B91=Input!$I$19+108,Input!$I$18*(1+annual_incr_other1)^9,IF(B91=Input!$I$19+120,Input!$I$18*(1+annual_incr_other1)^10,0))))))))))))</f>
        <v>0</v>
      </c>
      <c r="L91" s="156">
        <f>IF(OR(Input!$I$22="",B91&lt;Input!$I$22),0,IF(AND(B91&gt;=Input!$I$22,B91&lt;Input!$I$22+12),Input!$I$21,IF(B91=Input!$I$22+12,Input!$I$21*(1+annual_incr_other2),IF(B91=Input!$I$22+24,Input!$I$21*(1+annual_incr_other2)^2,IF(B91=Input!$I$22+36,Input!$I$21*(1+annual_incr_other2)^3,IF(B91=Input!$I$22+48,Input!$I$21*(1+annual_incr_other2)^4,IF(B91=Input!$I$22+60,Input!$I$21*(1+annual_incr_other2)^5,IF(B91=Input!$I$22+72,Input!$I$21*(1+annual_incr_other2)^6,IF(B91=Input!$I$22+84,Input!$I$21*(1+annual_incr_other2)^7,IF(B91=Input!$I$22+96,Input!$I$21*(1+annual_incr_other2)^8,IF(B91=Input!$I$22+108,Input!$I$21*(1+annual_incr_other2)^9,IF(B91=Input!$I$22+120,Input!$I$21*(1+annual_incr_other2)^10,L90))))))))))))</f>
        <v>653.77716451751689</v>
      </c>
      <c r="M91" s="139">
        <f>IF(OR(Input!$I$27="",B91&lt;Input!$I$27),0,E91*mgmt_fee)</f>
        <v>2191.0065839999997</v>
      </c>
      <c r="N91" s="139">
        <f>IF(OR(Input!$I$29="",B91&lt;Input!$I$29),0,E91*repairs_maint)</f>
        <v>2677.8969360000001</v>
      </c>
      <c r="O91" s="149">
        <f>IF(Input!$I$31="",0,IF(OR(B91=Input!$I$31,B91=Input!$I$31+12,B91=Input!$I$31+24,B91=Input!$I$31+36,B91=Input!$I$31+48,B91=Input!$I$31+60,B91=Input!$I$31+72,B91=Input!$I$31+84,B91=Input!$I$31+96,B91=Input!$I$31+108,B91=Input!$I$31+120),E91*other_3,0))</f>
        <v>0</v>
      </c>
      <c r="P91" s="158">
        <f t="shared" si="57"/>
        <v>6067.8769543047492</v>
      </c>
      <c r="Q91" s="159">
        <f t="shared" si="58"/>
        <v>237377.29904569525</v>
      </c>
      <c r="R91" s="160"/>
      <c r="S91" s="161">
        <f>IF(AND(leveraged_property,B91&lt;=amort_period),-IPMT(interest_rate/12,B91,amort_period,loan_amount),0)</f>
        <v>38531.639488758265</v>
      </c>
      <c r="T91" s="149">
        <f t="shared" si="59"/>
        <v>15408.315639206965</v>
      </c>
      <c r="U91" s="149">
        <f>IF(AND(leveraged_property,B91&lt;=amort_period),-PMT(interest_rate/12,amort_period,loan_amount),0)</f>
        <v>53939.95512796523</v>
      </c>
      <c r="V91" s="149">
        <f t="shared" si="60"/>
        <v>8391494.8455444127</v>
      </c>
      <c r="W91" s="160"/>
      <c r="X91" s="149">
        <f t="shared" si="61"/>
        <v>121362.41145410156</v>
      </c>
      <c r="Y91" s="162">
        <f t="shared" si="62"/>
        <v>28311423.344012842</v>
      </c>
      <c r="Z91" s="156">
        <f t="shared" si="45"/>
        <v>34404651.617660932</v>
      </c>
      <c r="AA91" s="163">
        <f t="shared" ca="1" si="46"/>
        <v>34404651.617660932</v>
      </c>
      <c r="AB91" s="160"/>
      <c r="AC91" s="164">
        <f>Input!$C$25/12</f>
        <v>26538.461538461535</v>
      </c>
      <c r="AD91" s="139">
        <f t="shared" si="47"/>
        <v>172307.19801847546</v>
      </c>
      <c r="AE91" s="149">
        <f t="shared" si="48"/>
        <v>51692.159405542639</v>
      </c>
      <c r="AF91" s="139">
        <f ca="1">IF(AA91=0,0,AA91-(total_initial_cost-SUM($AC$5:AC91)))</f>
        <v>16013497.771507084</v>
      </c>
      <c r="AG91" s="139">
        <f t="shared" ca="1" si="49"/>
        <v>3202699.554301417</v>
      </c>
      <c r="AH91" s="149">
        <f t="shared" ca="1" si="63"/>
        <v>31201952.063359514</v>
      </c>
      <c r="AI91" s="103"/>
      <c r="AJ91" s="165">
        <f t="shared" ca="1" si="50"/>
        <v>10501952.063359514</v>
      </c>
      <c r="AK91" s="165">
        <f t="shared" ca="1" si="66"/>
        <v>12195578.29046523</v>
      </c>
      <c r="AL91" s="300">
        <f t="shared" ca="1" si="67"/>
        <v>1.0888909187915383</v>
      </c>
      <c r="AM91" s="300">
        <f t="shared" si="68"/>
        <v>0.18773684303169955</v>
      </c>
      <c r="AN91" s="300">
        <f t="shared" si="69"/>
        <v>0.13284696152128586</v>
      </c>
      <c r="AO91" s="301">
        <f>IF(leveraged_property,SUM(Q80:Q91)/SUM(U80:U91),"N/A")</f>
        <v>4.2484464082434759</v>
      </c>
      <c r="AP91" s="103"/>
      <c r="AQ91" s="149">
        <f t="shared" si="64"/>
        <v>183437.34391773003</v>
      </c>
      <c r="AR91" s="149">
        <f t="shared" ca="1" si="51"/>
        <v>26196594.116034247</v>
      </c>
      <c r="AS91" s="288">
        <f ca="1">IF(down_payment&lt;=0,"N/A",IRR(($AQ$4:AQ90,AR91),))</f>
        <v>1.6827379167426822E-2</v>
      </c>
      <c r="AT91" s="290">
        <f t="shared" ca="1" si="52"/>
        <v>0.22170620198308755</v>
      </c>
      <c r="AU91" s="288">
        <f ca="1">IF(down_payment&lt;=0,"N/A",MIRR(($AQ$4:AQ90,AR91),finance_rate,reinvestment_rate))</f>
        <v>1.6387724285116478E-2</v>
      </c>
      <c r="AV91" s="290">
        <f t="shared" ca="1" si="53"/>
        <v>0.21538237229849932</v>
      </c>
      <c r="AW91" s="103"/>
      <c r="AX91" s="194" t="str">
        <f t="shared" si="54"/>
        <v/>
      </c>
      <c r="AY91" s="296" t="str">
        <f>IF(AND(B91=$BA$4,OR(down_payment&lt;=0,purchase_date="")),"N/A",IF(B91=$BA$4,XIRR(AX$4:AX91,A$4:A91),""))</f>
        <v/>
      </c>
      <c r="BA91" s="178"/>
    </row>
    <row r="92" spans="1:53">
      <c r="A92" s="137">
        <f t="shared" si="65"/>
        <v>42840</v>
      </c>
      <c r="B92" s="138">
        <f t="shared" si="55"/>
        <v>88</v>
      </c>
      <c r="C92" s="139">
        <f>C91+(C91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2" s="139">
        <f t="shared" si="44"/>
        <v>12812.904000000002</v>
      </c>
      <c r="E92" s="140">
        <f t="shared" si="56"/>
        <v>243445.17600000001</v>
      </c>
      <c r="F92" s="141"/>
      <c r="G92" s="157">
        <f>IF(Input!$I$7="",0,IF(B92=Input!$I$7,Input!$I$6,IF(B92=Input!$I$7+12,Input!$I$6*(1+annual_incr_proptax),IF(B92=Input!$I$7+24,Input!$I$6*(1+annual_incr_proptax)^2,IF(B92=Input!$I$7+36,Input!$I$6*(1+annual_incr_proptax)^3,IF(B92=Input!$I$7+48,Input!$I$6*(1+annual_incr_proptax)^4,IF(B92=Input!$I$7+60,Input!$I$6*(1+annual_incr_proptax)^5,IF(B92=Input!$I$7+72,Input!$I$6*(1+annual_incr_proptax)^6,IF(B92=Input!$I$7+84,Input!$I$6*(1+annual_incr_proptax)^7,IF(B92=Input!$I$7+96,Input!$I$6*(1+annual_incr_proptax)^8,IF(B92=Input!$I$7+108,Input!$I$6*(1+annual_incr_proptax)^9,IF(B92=Input!$I$7+120,Input!$I$6*(1+annual_incr_proptax)^10,0))))))))))))</f>
        <v>0</v>
      </c>
      <c r="H92" s="139">
        <f>IF(Input!$I$10="",0,IF(B92=Input!$I$10,Input!$I$9,IF(B92=Input!$I$10+12,Input!$I$9*(1+annual_incr_ins),IF(B92=Input!$I$10+24,Input!$I$9*(1+annual_incr_ins)^2,IF(B92=Input!$I$10+36,Input!$I$9*(1+annual_incr_ins)^3,IF(B92=Input!$I$10+48,Input!$I$9*(1+annual_incr_ins)^4,IF(B92=Input!$I$10+60,Input!$I$9*(1+annual_incr_ins)^5,IF(B92=Input!$I$10+72,Input!$I$9*(1+annual_incr_ins)^6,IF(B92=Input!$I$10+84,Input!$I$9*(1+annual_incr_ins)^7,IF(B92=Input!$I$10+96,Input!$I$9*(1+annual_incr_ins)^8,IF(B92=Input!$I$10+108,Input!$I$9*(1+annual_incr_ins)^9,IF(B92=Input!$I$10+120,Input!$I$9*(1+annual_incr_ins)^10,0))))))))))))</f>
        <v>0</v>
      </c>
      <c r="I92" s="139">
        <f>IF(OR(Input!$I$13="",B92&lt;Input!$I$13),0,IF(AND(B92&gt;=Input!$I$13,B92&lt;Input!$I$13+12),Input!$I$12,IF(B92=Input!$I$13+12,Input!$I$12*(1+annual_incr_util),IF(B92=Input!$I$13+24,Input!$I$12*(1+annual_incr_util)^2,IF(B92=Input!$I$13+36,Input!$I$12*(1+annual_incr_util)^3,IF(B92=Input!$I$13+48,Input!$I$12*(1+annual_incr_util)^4,IF(B92=Input!$I$13+60,Input!$I$12*(1+annual_incr_util)^5,IF(B92=Input!$I$13+72,Input!$I$12*(1+annual_incr_util)^6,IF(B92=Input!$I$13+84,Input!$I$12*(1+annual_incr_util)^7,IF(B92=Input!$I$13+96,Input!$I$12*(1+annual_incr_util)^8,IF(B92=Input!$I$13+108,Input!$I$12*(1+annual_incr_util)^9,IF(B92=Input!$I$13+120,Input!$I$12*(1+annual_incr_util)^10,I91))))))))))))</f>
        <v>562.91514855531739</v>
      </c>
      <c r="J92" s="139">
        <f>IF(Input!$I$16="",0,IF(B92=Input!$I$16,Input!$I$15,IF(B92=Input!$I$16+12,Input!$I$15*(1+annual_incr_advtg),IF(B92=Input!$I$16+24,Input!$I$15*(1+annual_incr_advtg)^2,IF(B92=Input!$I$16+36,Input!$I$15*(1+annual_incr_advtg)^3,IF(B92=Input!$I$16+48,Input!$I$15*(1+annual_incr_advtg)^4,IF(B92=Input!$I$16+60,Input!$I$15*(1+annual_incr_advtg)^5,IF(B92=Input!$I$16+72,Input!$I$15*(1+annual_incr_advtg)^6,IF(B92=Input!$I$16+84,Input!$I$15*(1+annual_incr_advtg)^7,IF(B92=Input!$I$16+96,Input!$I$15*(1+annual_incr_advtg)^8,IF(B92=Input!$I$16+108,Input!$I$15*(1+annual_incr_advtg)^9,IF(B92=Input!$I$16+120,Input!$I$15*(1+annual_incr_advtg)^10,0))))))))))))</f>
        <v>0</v>
      </c>
      <c r="K92" s="139">
        <f>IF(Input!$I$19="",0,IF(B92=Input!$I$19,Input!$I$18,IF(B92=Input!$I$19+12,Input!$I$18*(1+annual_incr_other1),IF(B92=Input!$I$19+24,Input!$I$18*(1+annual_incr_other1)^2,IF(B92=Input!$I$19+36,Input!$I$18*(1+annual_incr_other1)^3,IF(B92=Input!$I$19+48,Input!$I$18*(1+annual_incr_other1)^4,IF(B92=Input!$I$19+60,Input!$I$18*(1+annual_incr_other1)^5,IF(B92=Input!$I$19+72,Input!$I$18*(1+annual_incr_other1)^6,IF(B92=Input!$I$19+84,Input!$I$18*(1+annual_incr_other1)^7,IF(B92=Input!$I$19+96,Input!$I$18*(1+annual_incr_other1)^8,IF(B92=Input!$I$19+108,Input!$I$18*(1+annual_incr_other1)^9,IF(B92=Input!$I$19+120,Input!$I$18*(1+annual_incr_other1)^10,0))))))))))))</f>
        <v>0</v>
      </c>
      <c r="L92" s="156">
        <f>IF(OR(Input!$I$22="",B92&lt;Input!$I$22),0,IF(AND(B92&gt;=Input!$I$22,B92&lt;Input!$I$22+12),Input!$I$21,IF(B92=Input!$I$22+12,Input!$I$21*(1+annual_incr_other2),IF(B92=Input!$I$22+24,Input!$I$21*(1+annual_incr_other2)^2,IF(B92=Input!$I$22+36,Input!$I$21*(1+annual_incr_other2)^3,IF(B92=Input!$I$22+48,Input!$I$21*(1+annual_incr_other2)^4,IF(B92=Input!$I$22+60,Input!$I$21*(1+annual_incr_other2)^5,IF(B92=Input!$I$22+72,Input!$I$21*(1+annual_incr_other2)^6,IF(B92=Input!$I$22+84,Input!$I$21*(1+annual_incr_other2)^7,IF(B92=Input!$I$22+96,Input!$I$21*(1+annual_incr_other2)^8,IF(B92=Input!$I$22+108,Input!$I$21*(1+annual_incr_other2)^9,IF(B92=Input!$I$22+120,Input!$I$21*(1+annual_incr_other2)^10,L91))))))))))))</f>
        <v>653.77716451751689</v>
      </c>
      <c r="M92" s="139">
        <f>IF(OR(Input!$I$27="",B92&lt;Input!$I$27),0,E92*mgmt_fee)</f>
        <v>2191.0065839999997</v>
      </c>
      <c r="N92" s="139">
        <f>IF(OR(Input!$I$29="",B92&lt;Input!$I$29),0,E92*repairs_maint)</f>
        <v>2677.8969360000001</v>
      </c>
      <c r="O92" s="149">
        <f>IF(Input!$I$31="",0,IF(OR(B92=Input!$I$31,B92=Input!$I$31+12,B92=Input!$I$31+24,B92=Input!$I$31+36,B92=Input!$I$31+48,B92=Input!$I$31+60,B92=Input!$I$31+72,B92=Input!$I$31+84,B92=Input!$I$31+96,B92=Input!$I$31+108,B92=Input!$I$31+120),E92*other_3,0))</f>
        <v>0</v>
      </c>
      <c r="P92" s="158">
        <f t="shared" si="57"/>
        <v>6085.5958330728336</v>
      </c>
      <c r="Q92" s="159">
        <f t="shared" si="58"/>
        <v>237359.58016692716</v>
      </c>
      <c r="R92" s="160"/>
      <c r="S92" s="161">
        <f>IF(AND(leveraged_property,B92&lt;=amort_period),-IPMT(interest_rate/12,B92,amort_period,loan_amount),0)</f>
        <v>38461.018042078562</v>
      </c>
      <c r="T92" s="149">
        <f t="shared" si="59"/>
        <v>15478.937085886668</v>
      </c>
      <c r="U92" s="149">
        <f>IF(AND(leveraged_property,B92&lt;=amort_period),-PMT(interest_rate/12,amort_period,loan_amount),0)</f>
        <v>53939.95512796523</v>
      </c>
      <c r="V92" s="149">
        <f t="shared" si="60"/>
        <v>8376015.9084585262</v>
      </c>
      <c r="W92" s="160"/>
      <c r="X92" s="149">
        <f t="shared" si="61"/>
        <v>121362.41145410156</v>
      </c>
      <c r="Y92" s="162">
        <f t="shared" si="62"/>
        <v>28427931.25900878</v>
      </c>
      <c r="Z92" s="156">
        <f t="shared" si="45"/>
        <v>34890931.543462835</v>
      </c>
      <c r="AA92" s="163">
        <f t="shared" ca="1" si="46"/>
        <v>34890931.543462835</v>
      </c>
      <c r="AB92" s="160"/>
      <c r="AC92" s="164">
        <f>Input!$C$25/12</f>
        <v>26538.461538461535</v>
      </c>
      <c r="AD92" s="139">
        <f t="shared" si="47"/>
        <v>172360.10058638707</v>
      </c>
      <c r="AE92" s="149">
        <f t="shared" si="48"/>
        <v>51708.030175916116</v>
      </c>
      <c r="AF92" s="139">
        <f ca="1">IF(AA92=0,0,AA92-(total_initial_cost-SUM($AC$5:AC92)))</f>
        <v>16526316.158847447</v>
      </c>
      <c r="AG92" s="139">
        <f t="shared" ca="1" si="49"/>
        <v>3305263.2317694896</v>
      </c>
      <c r="AH92" s="149">
        <f t="shared" ca="1" si="63"/>
        <v>31585668.311693344</v>
      </c>
      <c r="AI92" s="103"/>
      <c r="AJ92" s="165">
        <f t="shared" ca="1" si="50"/>
        <v>10885668.311693344</v>
      </c>
      <c r="AK92" s="165">
        <f t="shared" ca="1" si="66"/>
        <v>12579849.531900682</v>
      </c>
      <c r="AL92" s="300">
        <f t="shared" ca="1" si="67"/>
        <v>1.1232008510625608</v>
      </c>
      <c r="AM92" s="300">
        <f t="shared" si="68"/>
        <v>0.1877338372581934</v>
      </c>
      <c r="AN92" s="300">
        <f t="shared" si="69"/>
        <v>0.13284533520905067</v>
      </c>
      <c r="AO92" s="301">
        <f>IF(leveraged_property,SUM(Q81:Q92)/SUM(U81:U92),"N/A")</f>
        <v>4.2483943987711079</v>
      </c>
      <c r="AP92" s="103"/>
      <c r="AQ92" s="149">
        <f t="shared" si="64"/>
        <v>183419.62503896194</v>
      </c>
      <c r="AR92" s="149">
        <f t="shared" ca="1" si="51"/>
        <v>26698335.260043267</v>
      </c>
      <c r="AS92" s="288">
        <f ca="1">IF(down_payment&lt;=0,"N/A",IRR(($AQ$4:AQ91,AR92),))</f>
        <v>1.6905611446247491E-2</v>
      </c>
      <c r="AT92" s="290">
        <f t="shared" ca="1" si="52"/>
        <v>0.22283462141678156</v>
      </c>
      <c r="AU92" s="288">
        <f ca="1">IF(down_payment&lt;=0,"N/A",MIRR(($AQ$4:AQ91,AR92),finance_rate,reinvestment_rate))</f>
        <v>1.6444581489018617E-2</v>
      </c>
      <c r="AV92" s="290">
        <f t="shared" ca="1" si="53"/>
        <v>0.21619849205492692</v>
      </c>
      <c r="AW92" s="103"/>
      <c r="AX92" s="194" t="str">
        <f t="shared" si="54"/>
        <v/>
      </c>
      <c r="AY92" s="296" t="str">
        <f>IF(AND(B92=$BA$4,OR(down_payment&lt;=0,purchase_date="")),"N/A",IF(B92=$BA$4,XIRR(AX$4:AX92,A$4:A92),""))</f>
        <v/>
      </c>
      <c r="BA92" s="178"/>
    </row>
    <row r="93" spans="1:53">
      <c r="A93" s="137">
        <f t="shared" si="65"/>
        <v>42870</v>
      </c>
      <c r="B93" s="138">
        <f t="shared" si="55"/>
        <v>89</v>
      </c>
      <c r="C93" s="139">
        <f>C92+(C92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3" s="139">
        <f t="shared" si="44"/>
        <v>12812.904000000002</v>
      </c>
      <c r="E93" s="140">
        <f t="shared" si="56"/>
        <v>243445.17600000001</v>
      </c>
      <c r="F93" s="141"/>
      <c r="G93" s="157">
        <f>IF(Input!$I$7="",0,IF(B93=Input!$I$7,Input!$I$6,IF(B93=Input!$I$7+12,Input!$I$6*(1+annual_incr_proptax),IF(B93=Input!$I$7+24,Input!$I$6*(1+annual_incr_proptax)^2,IF(B93=Input!$I$7+36,Input!$I$6*(1+annual_incr_proptax)^3,IF(B93=Input!$I$7+48,Input!$I$6*(1+annual_incr_proptax)^4,IF(B93=Input!$I$7+60,Input!$I$6*(1+annual_incr_proptax)^5,IF(B93=Input!$I$7+72,Input!$I$6*(1+annual_incr_proptax)^6,IF(B93=Input!$I$7+84,Input!$I$6*(1+annual_incr_proptax)^7,IF(B93=Input!$I$7+96,Input!$I$6*(1+annual_incr_proptax)^8,IF(B93=Input!$I$7+108,Input!$I$6*(1+annual_incr_proptax)^9,IF(B93=Input!$I$7+120,Input!$I$6*(1+annual_incr_proptax)^10,0))))))))))))</f>
        <v>0</v>
      </c>
      <c r="H93" s="139">
        <f>IF(Input!$I$10="",0,IF(B93=Input!$I$10,Input!$I$9,IF(B93=Input!$I$10+12,Input!$I$9*(1+annual_incr_ins),IF(B93=Input!$I$10+24,Input!$I$9*(1+annual_incr_ins)^2,IF(B93=Input!$I$10+36,Input!$I$9*(1+annual_incr_ins)^3,IF(B93=Input!$I$10+48,Input!$I$9*(1+annual_incr_ins)^4,IF(B93=Input!$I$10+60,Input!$I$9*(1+annual_incr_ins)^5,IF(B93=Input!$I$10+72,Input!$I$9*(1+annual_incr_ins)^6,IF(B93=Input!$I$10+84,Input!$I$9*(1+annual_incr_ins)^7,IF(B93=Input!$I$10+96,Input!$I$9*(1+annual_incr_ins)^8,IF(B93=Input!$I$10+108,Input!$I$9*(1+annual_incr_ins)^9,IF(B93=Input!$I$10+120,Input!$I$9*(1+annual_incr_ins)^10,0))))))))))))</f>
        <v>0</v>
      </c>
      <c r="I93" s="139">
        <f>IF(OR(Input!$I$13="",B93&lt;Input!$I$13),0,IF(AND(B93&gt;=Input!$I$13,B93&lt;Input!$I$13+12),Input!$I$12,IF(B93=Input!$I$13+12,Input!$I$12*(1+annual_incr_util),IF(B93=Input!$I$13+24,Input!$I$12*(1+annual_incr_util)^2,IF(B93=Input!$I$13+36,Input!$I$12*(1+annual_incr_util)^3,IF(B93=Input!$I$13+48,Input!$I$12*(1+annual_incr_util)^4,IF(B93=Input!$I$13+60,Input!$I$12*(1+annual_incr_util)^5,IF(B93=Input!$I$13+72,Input!$I$12*(1+annual_incr_util)^6,IF(B93=Input!$I$13+84,Input!$I$12*(1+annual_incr_util)^7,IF(B93=Input!$I$13+96,Input!$I$12*(1+annual_incr_util)^8,IF(B93=Input!$I$13+108,Input!$I$12*(1+annual_incr_util)^9,IF(B93=Input!$I$13+120,Input!$I$12*(1+annual_incr_util)^10,I92))))))))))))</f>
        <v>562.91514855531739</v>
      </c>
      <c r="J93" s="139">
        <f>IF(Input!$I$16="",0,IF(B93=Input!$I$16,Input!$I$15,IF(B93=Input!$I$16+12,Input!$I$15*(1+annual_incr_advtg),IF(B93=Input!$I$16+24,Input!$I$15*(1+annual_incr_advtg)^2,IF(B93=Input!$I$16+36,Input!$I$15*(1+annual_incr_advtg)^3,IF(B93=Input!$I$16+48,Input!$I$15*(1+annual_incr_advtg)^4,IF(B93=Input!$I$16+60,Input!$I$15*(1+annual_incr_advtg)^5,IF(B93=Input!$I$16+72,Input!$I$15*(1+annual_incr_advtg)^6,IF(B93=Input!$I$16+84,Input!$I$15*(1+annual_incr_advtg)^7,IF(B93=Input!$I$16+96,Input!$I$15*(1+annual_incr_advtg)^8,IF(B93=Input!$I$16+108,Input!$I$15*(1+annual_incr_advtg)^9,IF(B93=Input!$I$16+120,Input!$I$15*(1+annual_incr_advtg)^10,0))))))))))))</f>
        <v>0</v>
      </c>
      <c r="K93" s="139">
        <f>IF(Input!$I$19="",0,IF(B93=Input!$I$19,Input!$I$18,IF(B93=Input!$I$19+12,Input!$I$18*(1+annual_incr_other1),IF(B93=Input!$I$19+24,Input!$I$18*(1+annual_incr_other1)^2,IF(B93=Input!$I$19+36,Input!$I$18*(1+annual_incr_other1)^3,IF(B93=Input!$I$19+48,Input!$I$18*(1+annual_incr_other1)^4,IF(B93=Input!$I$19+60,Input!$I$18*(1+annual_incr_other1)^5,IF(B93=Input!$I$19+72,Input!$I$18*(1+annual_incr_other1)^6,IF(B93=Input!$I$19+84,Input!$I$18*(1+annual_incr_other1)^7,IF(B93=Input!$I$19+96,Input!$I$18*(1+annual_incr_other1)^8,IF(B93=Input!$I$19+108,Input!$I$18*(1+annual_incr_other1)^9,IF(B93=Input!$I$19+120,Input!$I$18*(1+annual_incr_other1)^10,0))))))))))))</f>
        <v>5921.6930065612814</v>
      </c>
      <c r="L93" s="156">
        <f>IF(OR(Input!$I$22="",B93&lt;Input!$I$22),0,IF(AND(B93&gt;=Input!$I$22,B93&lt;Input!$I$22+12),Input!$I$21,IF(B93=Input!$I$22+12,Input!$I$21*(1+annual_incr_other2),IF(B93=Input!$I$22+24,Input!$I$21*(1+annual_incr_other2)^2,IF(B93=Input!$I$22+36,Input!$I$21*(1+annual_incr_other2)^3,IF(B93=Input!$I$22+48,Input!$I$21*(1+annual_incr_other2)^4,IF(B93=Input!$I$22+60,Input!$I$21*(1+annual_incr_other2)^5,IF(B93=Input!$I$22+72,Input!$I$21*(1+annual_incr_other2)^6,IF(B93=Input!$I$22+84,Input!$I$21*(1+annual_incr_other2)^7,IF(B93=Input!$I$22+96,Input!$I$21*(1+annual_incr_other2)^8,IF(B93=Input!$I$22+108,Input!$I$21*(1+annual_incr_other2)^9,IF(B93=Input!$I$22+120,Input!$I$21*(1+annual_incr_other2)^10,L92))))))))))))</f>
        <v>653.77716451751689</v>
      </c>
      <c r="M93" s="139">
        <f>IF(OR(Input!$I$27="",B93&lt;Input!$I$27),0,E93*mgmt_fee)</f>
        <v>2191.0065839999997</v>
      </c>
      <c r="N93" s="139">
        <f>IF(OR(Input!$I$29="",B93&lt;Input!$I$29),0,E93*repairs_maint)</f>
        <v>2677.8969360000001</v>
      </c>
      <c r="O93" s="149">
        <f>IF(Input!$I$31="",0,IF(OR(B93=Input!$I$31,B93=Input!$I$31+12,B93=Input!$I$31+24,B93=Input!$I$31+36,B93=Input!$I$31+48,B93=Input!$I$31+60,B93=Input!$I$31+72,B93=Input!$I$31+84,B93=Input!$I$31+96,B93=Input!$I$31+108,B93=Input!$I$31+120),E93*other_3,0))</f>
        <v>0</v>
      </c>
      <c r="P93" s="158">
        <f t="shared" si="57"/>
        <v>12007.288839634115</v>
      </c>
      <c r="Q93" s="159">
        <f t="shared" si="58"/>
        <v>231437.88716036588</v>
      </c>
      <c r="R93" s="160"/>
      <c r="S93" s="161">
        <f>IF(AND(leveraged_property,B93&lt;=amort_period),-IPMT(interest_rate/12,B93,amort_period,loan_amount),0)</f>
        <v>38390.07291376825</v>
      </c>
      <c r="T93" s="149">
        <f t="shared" si="59"/>
        <v>15549.882214196979</v>
      </c>
      <c r="U93" s="149">
        <f>IF(AND(leveraged_property,B93&lt;=amort_period),-PMT(interest_rate/12,amort_period,loan_amount),0)</f>
        <v>53939.95512796523</v>
      </c>
      <c r="V93" s="149">
        <f t="shared" si="60"/>
        <v>8360466.0262443293</v>
      </c>
      <c r="W93" s="160"/>
      <c r="X93" s="149">
        <f t="shared" si="61"/>
        <v>121362.41145410156</v>
      </c>
      <c r="Y93" s="162">
        <f t="shared" si="62"/>
        <v>28544439.174004719</v>
      </c>
      <c r="Z93" s="156">
        <f t="shared" si="45"/>
        <v>35374369.056621596</v>
      </c>
      <c r="AA93" s="163">
        <f t="shared" ca="1" si="46"/>
        <v>35374369.056621596</v>
      </c>
      <c r="AB93" s="160"/>
      <c r="AC93" s="164">
        <f>Input!$C$25/12</f>
        <v>26538.461538461535</v>
      </c>
      <c r="AD93" s="139">
        <f t="shared" si="47"/>
        <v>166509.35270813611</v>
      </c>
      <c r="AE93" s="149">
        <f t="shared" si="48"/>
        <v>49952.805812440834</v>
      </c>
      <c r="AF93" s="139">
        <f ca="1">IF(AA93=0,0,AA93-(total_initial_cost-SUM($AC$5:AC93)))</f>
        <v>17036292.133544672</v>
      </c>
      <c r="AG93" s="139">
        <f t="shared" ca="1" si="49"/>
        <v>3407258.4267089348</v>
      </c>
      <c r="AH93" s="149">
        <f t="shared" ca="1" si="63"/>
        <v>31967110.62991266</v>
      </c>
      <c r="AI93" s="103"/>
      <c r="AJ93" s="165">
        <f t="shared" ca="1" si="50"/>
        <v>11267110.62991266</v>
      </c>
      <c r="AK93" s="165">
        <f t="shared" ca="1" si="66"/>
        <v>12961690.064751133</v>
      </c>
      <c r="AL93" s="300">
        <f t="shared" ca="1" si="67"/>
        <v>1.1572937557813512</v>
      </c>
      <c r="AM93" s="300">
        <f t="shared" si="68"/>
        <v>0.18771049600046141</v>
      </c>
      <c r="AN93" s="300">
        <f t="shared" si="69"/>
        <v>0.13283270612274156</v>
      </c>
      <c r="AO93" s="301">
        <f>IF(leveraged_property,SUM(Q82:Q93)/SUM(U82:U93),"N/A")</f>
        <v>4.2479905205359207</v>
      </c>
      <c r="AP93" s="103"/>
      <c r="AQ93" s="149">
        <f t="shared" si="64"/>
        <v>177497.93203240065</v>
      </c>
      <c r="AR93" s="149">
        <f t="shared" ca="1" si="51"/>
        <v>27191400.962409668</v>
      </c>
      <c r="AS93" s="288">
        <f ca="1">IF(down_payment&lt;=0,"N/A",IRR(($AQ$4:AQ92,AR93),))</f>
        <v>1.6975499493678638E-2</v>
      </c>
      <c r="AT93" s="290">
        <f t="shared" ca="1" si="52"/>
        <v>0.22384349186935437</v>
      </c>
      <c r="AU93" s="288">
        <f ca="1">IF(down_payment&lt;=0,"N/A",MIRR(($AQ$4:AQ92,AR93),finance_rate,reinvestment_rate))</f>
        <v>1.6494807858619787E-2</v>
      </c>
      <c r="AV93" s="290">
        <f t="shared" ca="1" si="53"/>
        <v>0.2169198516683013</v>
      </c>
      <c r="AW93" s="103"/>
      <c r="AX93" s="194" t="str">
        <f t="shared" si="54"/>
        <v/>
      </c>
      <c r="AY93" s="296" t="str">
        <f>IF(AND(B93=$BA$4,OR(down_payment&lt;=0,purchase_date="")),"N/A",IF(B93=$BA$4,XIRR(AX$4:AX93,A$4:A93),""))</f>
        <v/>
      </c>
      <c r="BA93" s="178"/>
    </row>
    <row r="94" spans="1:53">
      <c r="A94" s="137">
        <f t="shared" si="65"/>
        <v>42901</v>
      </c>
      <c r="B94" s="138">
        <f t="shared" si="55"/>
        <v>90</v>
      </c>
      <c r="C94" s="139">
        <f>C93+(C93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4" s="139">
        <f t="shared" si="44"/>
        <v>12812.904000000002</v>
      </c>
      <c r="E94" s="140">
        <f t="shared" si="56"/>
        <v>243445.17600000001</v>
      </c>
      <c r="F94" s="141"/>
      <c r="G94" s="157">
        <f>IF(Input!$I$7="",0,IF(B94=Input!$I$7,Input!$I$6,IF(B94=Input!$I$7+12,Input!$I$6*(1+annual_incr_proptax),IF(B94=Input!$I$7+24,Input!$I$6*(1+annual_incr_proptax)^2,IF(B94=Input!$I$7+36,Input!$I$6*(1+annual_incr_proptax)^3,IF(B94=Input!$I$7+48,Input!$I$6*(1+annual_incr_proptax)^4,IF(B94=Input!$I$7+60,Input!$I$6*(1+annual_incr_proptax)^5,IF(B94=Input!$I$7+72,Input!$I$6*(1+annual_incr_proptax)^6,IF(B94=Input!$I$7+84,Input!$I$6*(1+annual_incr_proptax)^7,IF(B94=Input!$I$7+96,Input!$I$6*(1+annual_incr_proptax)^8,IF(B94=Input!$I$7+108,Input!$I$6*(1+annual_incr_proptax)^9,IF(B94=Input!$I$7+120,Input!$I$6*(1+annual_incr_proptax)^10,0))))))))))))</f>
        <v>0</v>
      </c>
      <c r="H94" s="139">
        <f>IF(Input!$I$10="",0,IF(B94=Input!$I$10,Input!$I$9,IF(B94=Input!$I$10+12,Input!$I$9*(1+annual_incr_ins),IF(B94=Input!$I$10+24,Input!$I$9*(1+annual_incr_ins)^2,IF(B94=Input!$I$10+36,Input!$I$9*(1+annual_incr_ins)^3,IF(B94=Input!$I$10+48,Input!$I$9*(1+annual_incr_ins)^4,IF(B94=Input!$I$10+60,Input!$I$9*(1+annual_incr_ins)^5,IF(B94=Input!$I$10+72,Input!$I$9*(1+annual_incr_ins)^6,IF(B94=Input!$I$10+84,Input!$I$9*(1+annual_incr_ins)^7,IF(B94=Input!$I$10+96,Input!$I$9*(1+annual_incr_ins)^8,IF(B94=Input!$I$10+108,Input!$I$9*(1+annual_incr_ins)^9,IF(B94=Input!$I$10+120,Input!$I$9*(1+annual_incr_ins)^10,0))))))))))))</f>
        <v>14509.553891244277</v>
      </c>
      <c r="I94" s="139">
        <f>IF(OR(Input!$I$13="",B94&lt;Input!$I$13),0,IF(AND(B94&gt;=Input!$I$13,B94&lt;Input!$I$13+12),Input!$I$12,IF(B94=Input!$I$13+12,Input!$I$12*(1+annual_incr_util),IF(B94=Input!$I$13+24,Input!$I$12*(1+annual_incr_util)^2,IF(B94=Input!$I$13+36,Input!$I$12*(1+annual_incr_util)^3,IF(B94=Input!$I$13+48,Input!$I$12*(1+annual_incr_util)^4,IF(B94=Input!$I$13+60,Input!$I$12*(1+annual_incr_util)^5,IF(B94=Input!$I$13+72,Input!$I$12*(1+annual_incr_util)^6,IF(B94=Input!$I$13+84,Input!$I$12*(1+annual_incr_util)^7,IF(B94=Input!$I$13+96,Input!$I$12*(1+annual_incr_util)^8,IF(B94=Input!$I$13+108,Input!$I$12*(1+annual_incr_util)^9,IF(B94=Input!$I$13+120,Input!$I$12*(1+annual_incr_util)^10,I93))))))))))))</f>
        <v>562.91514855531739</v>
      </c>
      <c r="J94" s="139">
        <f>IF(Input!$I$16="",0,IF(B94=Input!$I$16,Input!$I$15,IF(B94=Input!$I$16+12,Input!$I$15*(1+annual_incr_advtg),IF(B94=Input!$I$16+24,Input!$I$15*(1+annual_incr_advtg)^2,IF(B94=Input!$I$16+36,Input!$I$15*(1+annual_incr_advtg)^3,IF(B94=Input!$I$16+48,Input!$I$15*(1+annual_incr_advtg)^4,IF(B94=Input!$I$16+60,Input!$I$15*(1+annual_incr_advtg)^5,IF(B94=Input!$I$16+72,Input!$I$15*(1+annual_incr_advtg)^6,IF(B94=Input!$I$16+84,Input!$I$15*(1+annual_incr_advtg)^7,IF(B94=Input!$I$16+96,Input!$I$15*(1+annual_incr_advtg)^8,IF(B94=Input!$I$16+108,Input!$I$15*(1+annual_incr_advtg)^9,IF(B94=Input!$I$16+120,Input!$I$15*(1+annual_incr_advtg)^10,0))))))))))))</f>
        <v>0</v>
      </c>
      <c r="K94" s="139">
        <f>IF(Input!$I$19="",0,IF(B94=Input!$I$19,Input!$I$18,IF(B94=Input!$I$19+12,Input!$I$18*(1+annual_incr_other1),IF(B94=Input!$I$19+24,Input!$I$18*(1+annual_incr_other1)^2,IF(B94=Input!$I$19+36,Input!$I$18*(1+annual_incr_other1)^3,IF(B94=Input!$I$19+48,Input!$I$18*(1+annual_incr_other1)^4,IF(B94=Input!$I$19+60,Input!$I$18*(1+annual_incr_other1)^5,IF(B94=Input!$I$19+72,Input!$I$18*(1+annual_incr_other1)^6,IF(B94=Input!$I$19+84,Input!$I$18*(1+annual_incr_other1)^7,IF(B94=Input!$I$19+96,Input!$I$18*(1+annual_incr_other1)^8,IF(B94=Input!$I$19+108,Input!$I$18*(1+annual_incr_other1)^9,IF(B94=Input!$I$19+120,Input!$I$18*(1+annual_incr_other1)^10,0))))))))))))</f>
        <v>0</v>
      </c>
      <c r="L94" s="156">
        <f>IF(OR(Input!$I$22="",B94&lt;Input!$I$22),0,IF(AND(B94&gt;=Input!$I$22,B94&lt;Input!$I$22+12),Input!$I$21,IF(B94=Input!$I$22+12,Input!$I$21*(1+annual_incr_other2),IF(B94=Input!$I$22+24,Input!$I$21*(1+annual_incr_other2)^2,IF(B94=Input!$I$22+36,Input!$I$21*(1+annual_incr_other2)^3,IF(B94=Input!$I$22+48,Input!$I$21*(1+annual_incr_other2)^4,IF(B94=Input!$I$22+60,Input!$I$21*(1+annual_incr_other2)^5,IF(B94=Input!$I$22+72,Input!$I$21*(1+annual_incr_other2)^6,IF(B94=Input!$I$22+84,Input!$I$21*(1+annual_incr_other2)^7,IF(B94=Input!$I$22+96,Input!$I$21*(1+annual_incr_other2)^8,IF(B94=Input!$I$22+108,Input!$I$21*(1+annual_incr_other2)^9,IF(B94=Input!$I$22+120,Input!$I$21*(1+annual_incr_other2)^10,L93))))))))))))</f>
        <v>653.77716451751689</v>
      </c>
      <c r="M94" s="139">
        <f>IF(OR(Input!$I$27="",B94&lt;Input!$I$27),0,E94*mgmt_fee)</f>
        <v>2191.0065839999997</v>
      </c>
      <c r="N94" s="139">
        <f>IF(OR(Input!$I$29="",B94&lt;Input!$I$29),0,E94*repairs_maint)</f>
        <v>2677.8969360000001</v>
      </c>
      <c r="O94" s="149">
        <f>IF(Input!$I$31="",0,IF(OR(B94=Input!$I$31,B94=Input!$I$31+12,B94=Input!$I$31+24,B94=Input!$I$31+36,B94=Input!$I$31+48,B94=Input!$I$31+60,B94=Input!$I$31+72,B94=Input!$I$31+84,B94=Input!$I$31+96,B94=Input!$I$31+108,B94=Input!$I$31+120),E94*other_3,0))</f>
        <v>0</v>
      </c>
      <c r="P94" s="158">
        <f t="shared" si="57"/>
        <v>20595.149724317111</v>
      </c>
      <c r="Q94" s="159">
        <f t="shared" si="58"/>
        <v>222850.0262756829</v>
      </c>
      <c r="R94" s="160"/>
      <c r="S94" s="161">
        <f>IF(AND(leveraged_property,B94&lt;=amort_period),-IPMT(interest_rate/12,B94,amort_period,loan_amount),0)</f>
        <v>38318.802620286515</v>
      </c>
      <c r="T94" s="149">
        <f t="shared" si="59"/>
        <v>15621.152507678715</v>
      </c>
      <c r="U94" s="149">
        <f>IF(AND(leveraged_property,B94&lt;=amort_period),-PMT(interest_rate/12,amort_period,loan_amount),0)</f>
        <v>53939.95512796523</v>
      </c>
      <c r="V94" s="149">
        <f t="shared" si="60"/>
        <v>8344844.8737366507</v>
      </c>
      <c r="W94" s="160"/>
      <c r="X94" s="149">
        <f t="shared" si="61"/>
        <v>121362.41145410156</v>
      </c>
      <c r="Y94" s="162">
        <f t="shared" si="62"/>
        <v>28660947.089000657</v>
      </c>
      <c r="Z94" s="156">
        <f t="shared" si="45"/>
        <v>35855860.829639398</v>
      </c>
      <c r="AA94" s="163">
        <f t="shared" ca="1" si="46"/>
        <v>35855860.829639398</v>
      </c>
      <c r="AB94" s="160"/>
      <c r="AC94" s="164">
        <f>Input!$C$25/12</f>
        <v>26538.461538461535</v>
      </c>
      <c r="AD94" s="139">
        <f t="shared" si="47"/>
        <v>157992.76211693484</v>
      </c>
      <c r="AE94" s="149">
        <f t="shared" si="48"/>
        <v>47397.828635080448</v>
      </c>
      <c r="AF94" s="139">
        <f ca="1">IF(AA94=0,0,AA94-(total_initial_cost-SUM($AC$5:AC94)))</f>
        <v>17544322.368100934</v>
      </c>
      <c r="AG94" s="139">
        <f t="shared" ca="1" si="49"/>
        <v>3508864.473620187</v>
      </c>
      <c r="AH94" s="149">
        <f t="shared" ca="1" si="63"/>
        <v>32346996.35601921</v>
      </c>
      <c r="AI94" s="103"/>
      <c r="AJ94" s="165">
        <f t="shared" ca="1" si="50"/>
        <v>11646996.35601921</v>
      </c>
      <c r="AK94" s="165">
        <f t="shared" ca="1" si="66"/>
        <v>13341864.266073344</v>
      </c>
      <c r="AL94" s="300">
        <f t="shared" ca="1" si="67"/>
        <v>1.1912378808994057</v>
      </c>
      <c r="AM94" s="300">
        <f t="shared" si="68"/>
        <v>0.18767281758774695</v>
      </c>
      <c r="AN94" s="300">
        <f t="shared" si="69"/>
        <v>0.13281231973518592</v>
      </c>
      <c r="AO94" s="301">
        <f>IF(leveraged_property,SUM(Q83:Q94)/SUM(U83:U94),"N/A")</f>
        <v>4.247338563773071</v>
      </c>
      <c r="AP94" s="103"/>
      <c r="AQ94" s="149">
        <f t="shared" si="64"/>
        <v>168910.07114771768</v>
      </c>
      <c r="AR94" s="149">
        <f t="shared" ca="1" si="51"/>
        <v>27679926.027050465</v>
      </c>
      <c r="AS94" s="288">
        <f ca="1">IF(down_payment&lt;=0,"N/A",IRR(($AQ$4:AQ93,AR94),))</f>
        <v>1.7037070116602576E-2</v>
      </c>
      <c r="AT94" s="290">
        <f t="shared" ca="1" si="52"/>
        <v>0.22473292807709644</v>
      </c>
      <c r="AU94" s="288">
        <f ca="1">IF(down_payment&lt;=0,"N/A",MIRR(($AQ$4:AQ93,AR94),finance_rate,reinvestment_rate))</f>
        <v>1.6538442388817076E-2</v>
      </c>
      <c r="AV94" s="290">
        <f t="shared" ca="1" si="53"/>
        <v>0.2175468565168277</v>
      </c>
      <c r="AW94" s="103"/>
      <c r="AX94" s="194" t="str">
        <f t="shared" si="54"/>
        <v/>
      </c>
      <c r="AY94" s="296" t="str">
        <f>IF(AND(B94=$BA$4,OR(down_payment&lt;=0,purchase_date="")),"N/A",IF(B94=$BA$4,XIRR(AX$4:AX94,A$4:A94),""))</f>
        <v/>
      </c>
      <c r="BA94" s="178"/>
    </row>
    <row r="95" spans="1:53">
      <c r="A95" s="137">
        <f t="shared" si="65"/>
        <v>42931</v>
      </c>
      <c r="B95" s="138">
        <f t="shared" si="55"/>
        <v>91</v>
      </c>
      <c r="C95" s="139">
        <f>C94+(C94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5" s="139">
        <f t="shared" si="44"/>
        <v>12812.904000000002</v>
      </c>
      <c r="E95" s="140">
        <f t="shared" si="56"/>
        <v>243445.17600000001</v>
      </c>
      <c r="F95" s="141"/>
      <c r="G95" s="157">
        <f>IF(Input!$I$7="",0,IF(B95=Input!$I$7,Input!$I$6,IF(B95=Input!$I$7+12,Input!$I$6*(1+annual_incr_proptax),IF(B95=Input!$I$7+24,Input!$I$6*(1+annual_incr_proptax)^2,IF(B95=Input!$I$7+36,Input!$I$6*(1+annual_incr_proptax)^3,IF(B95=Input!$I$7+48,Input!$I$6*(1+annual_incr_proptax)^4,IF(B95=Input!$I$7+60,Input!$I$6*(1+annual_incr_proptax)^5,IF(B95=Input!$I$7+72,Input!$I$6*(1+annual_incr_proptax)^6,IF(B95=Input!$I$7+84,Input!$I$6*(1+annual_incr_proptax)^7,IF(B95=Input!$I$7+96,Input!$I$6*(1+annual_incr_proptax)^8,IF(B95=Input!$I$7+108,Input!$I$6*(1+annual_incr_proptax)^9,IF(B95=Input!$I$7+120,Input!$I$6*(1+annual_incr_proptax)^10,0))))))))))))</f>
        <v>0</v>
      </c>
      <c r="H95" s="139">
        <f>IF(Input!$I$10="",0,IF(B95=Input!$I$10,Input!$I$9,IF(B95=Input!$I$10+12,Input!$I$9*(1+annual_incr_ins),IF(B95=Input!$I$10+24,Input!$I$9*(1+annual_incr_ins)^2,IF(B95=Input!$I$10+36,Input!$I$9*(1+annual_incr_ins)^3,IF(B95=Input!$I$10+48,Input!$I$9*(1+annual_incr_ins)^4,IF(B95=Input!$I$10+60,Input!$I$9*(1+annual_incr_ins)^5,IF(B95=Input!$I$10+72,Input!$I$9*(1+annual_incr_ins)^6,IF(B95=Input!$I$10+84,Input!$I$9*(1+annual_incr_ins)^7,IF(B95=Input!$I$10+96,Input!$I$9*(1+annual_incr_ins)^8,IF(B95=Input!$I$10+108,Input!$I$9*(1+annual_incr_ins)^9,IF(B95=Input!$I$10+120,Input!$I$9*(1+annual_incr_ins)^10,0))))))))))))</f>
        <v>0</v>
      </c>
      <c r="I95" s="139">
        <f>IF(OR(Input!$I$13="",B95&lt;Input!$I$13),0,IF(AND(B95&gt;=Input!$I$13,B95&lt;Input!$I$13+12),Input!$I$12,IF(B95=Input!$I$13+12,Input!$I$12*(1+annual_incr_util),IF(B95=Input!$I$13+24,Input!$I$12*(1+annual_incr_util)^2,IF(B95=Input!$I$13+36,Input!$I$12*(1+annual_incr_util)^3,IF(B95=Input!$I$13+48,Input!$I$12*(1+annual_incr_util)^4,IF(B95=Input!$I$13+60,Input!$I$12*(1+annual_incr_util)^5,IF(B95=Input!$I$13+72,Input!$I$12*(1+annual_incr_util)^6,IF(B95=Input!$I$13+84,Input!$I$12*(1+annual_incr_util)^7,IF(B95=Input!$I$13+96,Input!$I$12*(1+annual_incr_util)^8,IF(B95=Input!$I$13+108,Input!$I$12*(1+annual_incr_util)^9,IF(B95=Input!$I$13+120,Input!$I$12*(1+annual_incr_util)^10,I94))))))))))))</f>
        <v>562.91514855531739</v>
      </c>
      <c r="J95" s="139">
        <f>IF(Input!$I$16="",0,IF(B95=Input!$I$16,Input!$I$15,IF(B95=Input!$I$16+12,Input!$I$15*(1+annual_incr_advtg),IF(B95=Input!$I$16+24,Input!$I$15*(1+annual_incr_advtg)^2,IF(B95=Input!$I$16+36,Input!$I$15*(1+annual_incr_advtg)^3,IF(B95=Input!$I$16+48,Input!$I$15*(1+annual_incr_advtg)^4,IF(B95=Input!$I$16+60,Input!$I$15*(1+annual_incr_advtg)^5,IF(B95=Input!$I$16+72,Input!$I$15*(1+annual_incr_advtg)^6,IF(B95=Input!$I$16+84,Input!$I$15*(1+annual_incr_advtg)^7,IF(B95=Input!$I$16+96,Input!$I$15*(1+annual_incr_advtg)^8,IF(B95=Input!$I$16+108,Input!$I$15*(1+annual_incr_advtg)^9,IF(B95=Input!$I$16+120,Input!$I$15*(1+annual_incr_advtg)^10,0))))))))))))</f>
        <v>16918.419617981432</v>
      </c>
      <c r="K95" s="139">
        <f>IF(Input!$I$19="",0,IF(B95=Input!$I$19,Input!$I$18,IF(B95=Input!$I$19+12,Input!$I$18*(1+annual_incr_other1),IF(B95=Input!$I$19+24,Input!$I$18*(1+annual_incr_other1)^2,IF(B95=Input!$I$19+36,Input!$I$18*(1+annual_incr_other1)^3,IF(B95=Input!$I$19+48,Input!$I$18*(1+annual_incr_other1)^4,IF(B95=Input!$I$19+60,Input!$I$18*(1+annual_incr_other1)^5,IF(B95=Input!$I$19+72,Input!$I$18*(1+annual_incr_other1)^6,IF(B95=Input!$I$19+84,Input!$I$18*(1+annual_incr_other1)^7,IF(B95=Input!$I$19+96,Input!$I$18*(1+annual_incr_other1)^8,IF(B95=Input!$I$19+108,Input!$I$18*(1+annual_incr_other1)^9,IF(B95=Input!$I$19+120,Input!$I$18*(1+annual_incr_other1)^10,0))))))))))))</f>
        <v>0</v>
      </c>
      <c r="L95" s="156">
        <f>IF(OR(Input!$I$22="",B95&lt;Input!$I$22),0,IF(AND(B95&gt;=Input!$I$22,B95&lt;Input!$I$22+12),Input!$I$21,IF(B95=Input!$I$22+12,Input!$I$21*(1+annual_incr_other2),IF(B95=Input!$I$22+24,Input!$I$21*(1+annual_incr_other2)^2,IF(B95=Input!$I$22+36,Input!$I$21*(1+annual_incr_other2)^3,IF(B95=Input!$I$22+48,Input!$I$21*(1+annual_incr_other2)^4,IF(B95=Input!$I$22+60,Input!$I$21*(1+annual_incr_other2)^5,IF(B95=Input!$I$22+72,Input!$I$21*(1+annual_incr_other2)^6,IF(B95=Input!$I$22+84,Input!$I$21*(1+annual_incr_other2)^7,IF(B95=Input!$I$22+96,Input!$I$21*(1+annual_incr_other2)^8,IF(B95=Input!$I$22+108,Input!$I$21*(1+annual_incr_other2)^9,IF(B95=Input!$I$22+120,Input!$I$21*(1+annual_incr_other2)^10,L94))))))))))))</f>
        <v>653.77716451751689</v>
      </c>
      <c r="M95" s="139">
        <f>IF(OR(Input!$I$27="",B95&lt;Input!$I$27),0,E95*mgmt_fee)</f>
        <v>2191.0065839999997</v>
      </c>
      <c r="N95" s="139">
        <f>IF(OR(Input!$I$29="",B95&lt;Input!$I$29),0,E95*repairs_maint)</f>
        <v>2677.8969360000001</v>
      </c>
      <c r="O95" s="149">
        <f>IF(Input!$I$31="",0,IF(OR(B95=Input!$I$31,B95=Input!$I$31+12,B95=Input!$I$31+24,B95=Input!$I$31+36,B95=Input!$I$31+48,B95=Input!$I$31+60,B95=Input!$I$31+72,B95=Input!$I$31+84,B95=Input!$I$31+96,B95=Input!$I$31+108,B95=Input!$I$31+120),E95*other_3,0))</f>
        <v>0</v>
      </c>
      <c r="P95" s="158">
        <f t="shared" si="57"/>
        <v>23004.015451054263</v>
      </c>
      <c r="Q95" s="159">
        <f t="shared" si="58"/>
        <v>220441.16054894574</v>
      </c>
      <c r="R95" s="160"/>
      <c r="S95" s="161">
        <f>IF(AND(leveraged_property,B95&lt;=amort_period),-IPMT(interest_rate/12,B95,amort_period,loan_amount),0)</f>
        <v>38247.205671292984</v>
      </c>
      <c r="T95" s="149">
        <f t="shared" si="59"/>
        <v>15692.749456672245</v>
      </c>
      <c r="U95" s="149">
        <f>IF(AND(leveraged_property,B95&lt;=amort_period),-PMT(interest_rate/12,amort_period,loan_amount),0)</f>
        <v>53939.95512796523</v>
      </c>
      <c r="V95" s="149">
        <f t="shared" si="60"/>
        <v>8329152.1242799787</v>
      </c>
      <c r="W95" s="160"/>
      <c r="X95" s="149">
        <f t="shared" si="61"/>
        <v>121362.41145410156</v>
      </c>
      <c r="Y95" s="162">
        <f t="shared" si="62"/>
        <v>28777455.003996596</v>
      </c>
      <c r="Z95" s="156">
        <f t="shared" si="45"/>
        <v>36330629.462733224</v>
      </c>
      <c r="AA95" s="163">
        <f t="shared" ca="1" si="46"/>
        <v>36330629.462733224</v>
      </c>
      <c r="AB95" s="160"/>
      <c r="AC95" s="164">
        <f>Input!$C$25/12</f>
        <v>26538.461538461535</v>
      </c>
      <c r="AD95" s="139">
        <f t="shared" si="47"/>
        <v>155655.49333919122</v>
      </c>
      <c r="AE95" s="149">
        <f t="shared" si="48"/>
        <v>46696.648001757363</v>
      </c>
      <c r="AF95" s="139">
        <f ca="1">IF(AA95=0,0,AA95-(total_initial_cost-SUM($AC$5:AC95)))</f>
        <v>18045629.46273322</v>
      </c>
      <c r="AG95" s="139">
        <f t="shared" ca="1" si="49"/>
        <v>3609125.8925466444</v>
      </c>
      <c r="AH95" s="149">
        <f t="shared" ca="1" si="63"/>
        <v>32721503.570186578</v>
      </c>
      <c r="AI95" s="103"/>
      <c r="AJ95" s="165">
        <f t="shared" ca="1" si="50"/>
        <v>12021503.570186578</v>
      </c>
      <c r="AK95" s="165">
        <f t="shared" ca="1" si="66"/>
        <v>13716299.003624255</v>
      </c>
      <c r="AL95" s="300">
        <f t="shared" ca="1" si="67"/>
        <v>1.2246695538950227</v>
      </c>
      <c r="AM95" s="300">
        <f t="shared" si="68"/>
        <v>0.18758875806264053</v>
      </c>
      <c r="AN95" s="300">
        <f t="shared" si="69"/>
        <v>0.13276683825300273</v>
      </c>
      <c r="AO95" s="301">
        <f>IF(leveraged_property,SUM(Q84:Q95)/SUM(U84:U95),"N/A")</f>
        <v>4.2458840657746961</v>
      </c>
      <c r="AP95" s="103"/>
      <c r="AQ95" s="149">
        <f t="shared" si="64"/>
        <v>166501.20542098052</v>
      </c>
      <c r="AR95" s="149">
        <f t="shared" ca="1" si="51"/>
        <v>28167978.543874223</v>
      </c>
      <c r="AS95" s="288">
        <f ca="1">IF(down_payment&lt;=0,"N/A",IRR(($AQ$4:AQ94,AR95),))</f>
        <v>1.7091266277372542E-2</v>
      </c>
      <c r="AT95" s="290">
        <f t="shared" ca="1" si="52"/>
        <v>0.22551632465375504</v>
      </c>
      <c r="AU95" s="288">
        <f ca="1">IF(down_payment&lt;=0,"N/A",MIRR(($AQ$4:AQ94,AR95),finance_rate,reinvestment_rate))</f>
        <v>1.6576239832844397E-2</v>
      </c>
      <c r="AV95" s="290">
        <f t="shared" ca="1" si="53"/>
        <v>0.21809022490943875</v>
      </c>
      <c r="AW95" s="103"/>
      <c r="AX95" s="194" t="str">
        <f t="shared" si="54"/>
        <v/>
      </c>
      <c r="AY95" s="296" t="str">
        <f>IF(AND(B95=$BA$4,OR(down_payment&lt;=0,purchase_date="")),"N/A",IF(B95=$BA$4,XIRR(AX$4:AX95,A$4:A95),""))</f>
        <v/>
      </c>
      <c r="BA95" s="178"/>
    </row>
    <row r="96" spans="1:53">
      <c r="A96" s="137">
        <f t="shared" si="65"/>
        <v>42962</v>
      </c>
      <c r="B96" s="138">
        <f t="shared" si="55"/>
        <v>92</v>
      </c>
      <c r="C96" s="139">
        <f>C95+(C95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6" s="139">
        <f t="shared" si="44"/>
        <v>12812.904000000002</v>
      </c>
      <c r="E96" s="140">
        <f t="shared" si="56"/>
        <v>243445.17600000001</v>
      </c>
      <c r="F96" s="141"/>
      <c r="G96" s="157">
        <f>IF(Input!$I$7="",0,IF(B96=Input!$I$7,Input!$I$6,IF(B96=Input!$I$7+12,Input!$I$6*(1+annual_incr_proptax),IF(B96=Input!$I$7+24,Input!$I$6*(1+annual_incr_proptax)^2,IF(B96=Input!$I$7+36,Input!$I$6*(1+annual_incr_proptax)^3,IF(B96=Input!$I$7+48,Input!$I$6*(1+annual_incr_proptax)^4,IF(B96=Input!$I$7+60,Input!$I$6*(1+annual_incr_proptax)^5,IF(B96=Input!$I$7+72,Input!$I$6*(1+annual_incr_proptax)^6,IF(B96=Input!$I$7+84,Input!$I$6*(1+annual_incr_proptax)^7,IF(B96=Input!$I$7+96,Input!$I$6*(1+annual_incr_proptax)^8,IF(B96=Input!$I$7+108,Input!$I$6*(1+annual_incr_proptax)^9,IF(B96=Input!$I$7+120,Input!$I$6*(1+annual_incr_proptax)^10,0))))))))))))</f>
        <v>0</v>
      </c>
      <c r="H96" s="139">
        <f>IF(Input!$I$10="",0,IF(B96=Input!$I$10,Input!$I$9,IF(B96=Input!$I$10+12,Input!$I$9*(1+annual_incr_ins),IF(B96=Input!$I$10+24,Input!$I$9*(1+annual_incr_ins)^2,IF(B96=Input!$I$10+36,Input!$I$9*(1+annual_incr_ins)^3,IF(B96=Input!$I$10+48,Input!$I$9*(1+annual_incr_ins)^4,IF(B96=Input!$I$10+60,Input!$I$9*(1+annual_incr_ins)^5,IF(B96=Input!$I$10+72,Input!$I$9*(1+annual_incr_ins)^6,IF(B96=Input!$I$10+84,Input!$I$9*(1+annual_incr_ins)^7,IF(B96=Input!$I$10+96,Input!$I$9*(1+annual_incr_ins)^8,IF(B96=Input!$I$10+108,Input!$I$9*(1+annual_incr_ins)^9,IF(B96=Input!$I$10+120,Input!$I$9*(1+annual_incr_ins)^10,0))))))))))))</f>
        <v>0</v>
      </c>
      <c r="I96" s="139">
        <f>IF(OR(Input!$I$13="",B96&lt;Input!$I$13),0,IF(AND(B96&gt;=Input!$I$13,B96&lt;Input!$I$13+12),Input!$I$12,IF(B96=Input!$I$13+12,Input!$I$12*(1+annual_incr_util),IF(B96=Input!$I$13+24,Input!$I$12*(1+annual_incr_util)^2,IF(B96=Input!$I$13+36,Input!$I$12*(1+annual_incr_util)^3,IF(B96=Input!$I$13+48,Input!$I$12*(1+annual_incr_util)^4,IF(B96=Input!$I$13+60,Input!$I$12*(1+annual_incr_util)^5,IF(B96=Input!$I$13+72,Input!$I$12*(1+annual_incr_util)^6,IF(B96=Input!$I$13+84,Input!$I$12*(1+annual_incr_util)^7,IF(B96=Input!$I$13+96,Input!$I$12*(1+annual_incr_util)^8,IF(B96=Input!$I$13+108,Input!$I$12*(1+annual_incr_util)^9,IF(B96=Input!$I$13+120,Input!$I$12*(1+annual_incr_util)^10,I95))))))))))))</f>
        <v>562.91514855531739</v>
      </c>
      <c r="J96" s="139">
        <f>IF(Input!$I$16="",0,IF(B96=Input!$I$16,Input!$I$15,IF(B96=Input!$I$16+12,Input!$I$15*(1+annual_incr_advtg),IF(B96=Input!$I$16+24,Input!$I$15*(1+annual_incr_advtg)^2,IF(B96=Input!$I$16+36,Input!$I$15*(1+annual_incr_advtg)^3,IF(B96=Input!$I$16+48,Input!$I$15*(1+annual_incr_advtg)^4,IF(B96=Input!$I$16+60,Input!$I$15*(1+annual_incr_advtg)^5,IF(B96=Input!$I$16+72,Input!$I$15*(1+annual_incr_advtg)^6,IF(B96=Input!$I$16+84,Input!$I$15*(1+annual_incr_advtg)^7,IF(B96=Input!$I$16+96,Input!$I$15*(1+annual_incr_advtg)^8,IF(B96=Input!$I$16+108,Input!$I$15*(1+annual_incr_advtg)^9,IF(B96=Input!$I$16+120,Input!$I$15*(1+annual_incr_advtg)^10,0))))))))))))</f>
        <v>0</v>
      </c>
      <c r="K96" s="139">
        <f>IF(Input!$I$19="",0,IF(B96=Input!$I$19,Input!$I$18,IF(B96=Input!$I$19+12,Input!$I$18*(1+annual_incr_other1),IF(B96=Input!$I$19+24,Input!$I$18*(1+annual_incr_other1)^2,IF(B96=Input!$I$19+36,Input!$I$18*(1+annual_incr_other1)^3,IF(B96=Input!$I$19+48,Input!$I$18*(1+annual_incr_other1)^4,IF(B96=Input!$I$19+60,Input!$I$18*(1+annual_incr_other1)^5,IF(B96=Input!$I$19+72,Input!$I$18*(1+annual_incr_other1)^6,IF(B96=Input!$I$19+84,Input!$I$18*(1+annual_incr_other1)^7,IF(B96=Input!$I$19+96,Input!$I$18*(1+annual_incr_other1)^8,IF(B96=Input!$I$19+108,Input!$I$18*(1+annual_incr_other1)^9,IF(B96=Input!$I$19+120,Input!$I$18*(1+annual_incr_other1)^10,0))))))))))))</f>
        <v>0</v>
      </c>
      <c r="L96" s="156">
        <f>IF(OR(Input!$I$22="",B96&lt;Input!$I$22),0,IF(AND(B96&gt;=Input!$I$22,B96&lt;Input!$I$22+12),Input!$I$21,IF(B96=Input!$I$22+12,Input!$I$21*(1+annual_incr_other2),IF(B96=Input!$I$22+24,Input!$I$21*(1+annual_incr_other2)^2,IF(B96=Input!$I$22+36,Input!$I$21*(1+annual_incr_other2)^3,IF(B96=Input!$I$22+48,Input!$I$21*(1+annual_incr_other2)^4,IF(B96=Input!$I$22+60,Input!$I$21*(1+annual_incr_other2)^5,IF(B96=Input!$I$22+72,Input!$I$21*(1+annual_incr_other2)^6,IF(B96=Input!$I$22+84,Input!$I$21*(1+annual_incr_other2)^7,IF(B96=Input!$I$22+96,Input!$I$21*(1+annual_incr_other2)^8,IF(B96=Input!$I$22+108,Input!$I$21*(1+annual_incr_other2)^9,IF(B96=Input!$I$22+120,Input!$I$21*(1+annual_incr_other2)^10,L95))))))))))))</f>
        <v>653.77716451751689</v>
      </c>
      <c r="M96" s="139">
        <f>IF(OR(Input!$I$27="",B96&lt;Input!$I$27),0,E96*mgmt_fee)</f>
        <v>2191.0065839999997</v>
      </c>
      <c r="N96" s="139">
        <f>IF(OR(Input!$I$29="",B96&lt;Input!$I$29),0,E96*repairs_maint)</f>
        <v>2677.8969360000001</v>
      </c>
      <c r="O96" s="149">
        <f>IF(Input!$I$31="",0,IF(OR(B96=Input!$I$31,B96=Input!$I$31+12,B96=Input!$I$31+24,B96=Input!$I$31+36,B96=Input!$I$31+48,B96=Input!$I$31+60,B96=Input!$I$31+72,B96=Input!$I$31+84,B96=Input!$I$31+96,B96=Input!$I$31+108,B96=Input!$I$31+120),E96*other_3,0))</f>
        <v>0</v>
      </c>
      <c r="P96" s="158">
        <f t="shared" si="57"/>
        <v>6085.5958330728336</v>
      </c>
      <c r="Q96" s="159">
        <f t="shared" si="58"/>
        <v>237359.58016692716</v>
      </c>
      <c r="R96" s="160"/>
      <c r="S96" s="161">
        <f>IF(AND(leveraged_property,B96&lt;=amort_period),-IPMT(interest_rate/12,B96,amort_period,loan_amount),0)</f>
        <v>38175.280569616574</v>
      </c>
      <c r="T96" s="149">
        <f t="shared" si="59"/>
        <v>15764.674558348655</v>
      </c>
      <c r="U96" s="149">
        <f>IF(AND(leveraged_property,B96&lt;=amort_period),-PMT(interest_rate/12,amort_period,loan_amount),0)</f>
        <v>53939.95512796523</v>
      </c>
      <c r="V96" s="149">
        <f t="shared" si="60"/>
        <v>8313387.4497216297</v>
      </c>
      <c r="W96" s="160"/>
      <c r="X96" s="149">
        <f t="shared" si="61"/>
        <v>121362.41145410156</v>
      </c>
      <c r="Y96" s="162">
        <f t="shared" si="62"/>
        <v>28893962.918992534</v>
      </c>
      <c r="Z96" s="156">
        <f t="shared" si="45"/>
        <v>36816909.388535134</v>
      </c>
      <c r="AA96" s="163">
        <f t="shared" ca="1" si="46"/>
        <v>36816909.388535134</v>
      </c>
      <c r="AB96" s="160"/>
      <c r="AC96" s="164">
        <f>Input!$C$25/12</f>
        <v>26538.461538461535</v>
      </c>
      <c r="AD96" s="139">
        <f t="shared" si="47"/>
        <v>172645.83805884907</v>
      </c>
      <c r="AE96" s="149">
        <f t="shared" si="48"/>
        <v>51793.751417654719</v>
      </c>
      <c r="AF96" s="139">
        <f ca="1">IF(AA96=0,0,AA96-(total_initial_cost-SUM($AC$5:AC96)))</f>
        <v>18558447.850073595</v>
      </c>
      <c r="AG96" s="139">
        <f t="shared" ca="1" si="49"/>
        <v>3711689.5700147189</v>
      </c>
      <c r="AH96" s="149">
        <f t="shared" ca="1" si="63"/>
        <v>33105219.818520416</v>
      </c>
      <c r="AI96" s="103"/>
      <c r="AJ96" s="165">
        <f t="shared" ca="1" si="50"/>
        <v>12405219.818520416</v>
      </c>
      <c r="AK96" s="165">
        <f t="shared" ca="1" si="66"/>
        <v>14100580.925108626</v>
      </c>
      <c r="AL96" s="300">
        <f t="shared" ca="1" si="67"/>
        <v>1.2589804397418416</v>
      </c>
      <c r="AM96" s="300">
        <f t="shared" si="68"/>
        <v>0.18758575228913441</v>
      </c>
      <c r="AN96" s="300">
        <f t="shared" si="69"/>
        <v>0.13276521194076754</v>
      </c>
      <c r="AO96" s="301">
        <f>IF(leveraged_property,SUM(Q85:Q96)/SUM(U85:U96),"N/A")</f>
        <v>4.24583205630233</v>
      </c>
      <c r="AP96" s="103"/>
      <c r="AQ96" s="149">
        <f t="shared" si="64"/>
        <v>183419.62503896194</v>
      </c>
      <c r="AR96" s="149">
        <f t="shared" ca="1" si="51"/>
        <v>28686941.563852463</v>
      </c>
      <c r="AS96" s="288">
        <f ca="1">IF(down_payment&lt;=0,"N/A",IRR(($AQ$4:AQ95,AR96),))</f>
        <v>1.7149045905267883E-2</v>
      </c>
      <c r="AT96" s="290">
        <f t="shared" ca="1" si="52"/>
        <v>0.2263520255370346</v>
      </c>
      <c r="AU96" s="288">
        <f ca="1">IF(down_payment&lt;=0,"N/A",MIRR(($AQ$4:AQ95,AR96),finance_rate,reinvestment_rate))</f>
        <v>1.6616740222455073E-2</v>
      </c>
      <c r="AV96" s="290">
        <f t="shared" ca="1" si="53"/>
        <v>0.21867269699247727</v>
      </c>
      <c r="AW96" s="103"/>
      <c r="AX96" s="194" t="str">
        <f t="shared" si="54"/>
        <v/>
      </c>
      <c r="AY96" s="296" t="str">
        <f>IF(AND(B96=$BA$4,OR(down_payment&lt;=0,purchase_date="")),"N/A",IF(B96=$BA$4,XIRR(AX$4:AX96,A$4:A96),""))</f>
        <v/>
      </c>
      <c r="BA96" s="178"/>
    </row>
    <row r="97" spans="1:53">
      <c r="A97" s="137">
        <f t="shared" si="65"/>
        <v>42993</v>
      </c>
      <c r="B97" s="138">
        <f t="shared" si="55"/>
        <v>93</v>
      </c>
      <c r="C97" s="139">
        <f>C96+(C96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7" s="139">
        <f t="shared" si="44"/>
        <v>12812.904000000002</v>
      </c>
      <c r="E97" s="140">
        <f t="shared" si="56"/>
        <v>243445.17600000001</v>
      </c>
      <c r="F97" s="141"/>
      <c r="G97" s="157">
        <f>IF(Input!$I$7="",0,IF(B97=Input!$I$7,Input!$I$6,IF(B97=Input!$I$7+12,Input!$I$6*(1+annual_incr_proptax),IF(B97=Input!$I$7+24,Input!$I$6*(1+annual_incr_proptax)^2,IF(B97=Input!$I$7+36,Input!$I$6*(1+annual_incr_proptax)^3,IF(B97=Input!$I$7+48,Input!$I$6*(1+annual_incr_proptax)^4,IF(B97=Input!$I$7+60,Input!$I$6*(1+annual_incr_proptax)^5,IF(B97=Input!$I$7+72,Input!$I$6*(1+annual_incr_proptax)^6,IF(B97=Input!$I$7+84,Input!$I$6*(1+annual_incr_proptax)^7,IF(B97=Input!$I$7+96,Input!$I$6*(1+annual_incr_proptax)^8,IF(B97=Input!$I$7+108,Input!$I$6*(1+annual_incr_proptax)^9,IF(B97=Input!$I$7+120,Input!$I$6*(1+annual_incr_proptax)^10,0))))))))))))</f>
        <v>0</v>
      </c>
      <c r="H97" s="139">
        <f>IF(Input!$I$10="",0,IF(B97=Input!$I$10,Input!$I$9,IF(B97=Input!$I$10+12,Input!$I$9*(1+annual_incr_ins),IF(B97=Input!$I$10+24,Input!$I$9*(1+annual_incr_ins)^2,IF(B97=Input!$I$10+36,Input!$I$9*(1+annual_incr_ins)^3,IF(B97=Input!$I$10+48,Input!$I$9*(1+annual_incr_ins)^4,IF(B97=Input!$I$10+60,Input!$I$9*(1+annual_incr_ins)^5,IF(B97=Input!$I$10+72,Input!$I$9*(1+annual_incr_ins)^6,IF(B97=Input!$I$10+84,Input!$I$9*(1+annual_incr_ins)^7,IF(B97=Input!$I$10+96,Input!$I$9*(1+annual_incr_ins)^8,IF(B97=Input!$I$10+108,Input!$I$9*(1+annual_incr_ins)^9,IF(B97=Input!$I$10+120,Input!$I$9*(1+annual_incr_ins)^10,0))))))))))))</f>
        <v>0</v>
      </c>
      <c r="I97" s="139">
        <f>IF(OR(Input!$I$13="",B97&lt;Input!$I$13),0,IF(AND(B97&gt;=Input!$I$13,B97&lt;Input!$I$13+12),Input!$I$12,IF(B97=Input!$I$13+12,Input!$I$12*(1+annual_incr_util),IF(B97=Input!$I$13+24,Input!$I$12*(1+annual_incr_util)^2,IF(B97=Input!$I$13+36,Input!$I$12*(1+annual_incr_util)^3,IF(B97=Input!$I$13+48,Input!$I$12*(1+annual_incr_util)^4,IF(B97=Input!$I$13+60,Input!$I$12*(1+annual_incr_util)^5,IF(B97=Input!$I$13+72,Input!$I$12*(1+annual_incr_util)^6,IF(B97=Input!$I$13+84,Input!$I$12*(1+annual_incr_util)^7,IF(B97=Input!$I$13+96,Input!$I$12*(1+annual_incr_util)^8,IF(B97=Input!$I$13+108,Input!$I$12*(1+annual_incr_util)^9,IF(B97=Input!$I$13+120,Input!$I$12*(1+annual_incr_util)^10,I96))))))))))))</f>
        <v>562.91514855531739</v>
      </c>
      <c r="J97" s="139">
        <f>IF(Input!$I$16="",0,IF(B97=Input!$I$16,Input!$I$15,IF(B97=Input!$I$16+12,Input!$I$15*(1+annual_incr_advtg),IF(B97=Input!$I$16+24,Input!$I$15*(1+annual_incr_advtg)^2,IF(B97=Input!$I$16+36,Input!$I$15*(1+annual_incr_advtg)^3,IF(B97=Input!$I$16+48,Input!$I$15*(1+annual_incr_advtg)^4,IF(B97=Input!$I$16+60,Input!$I$15*(1+annual_incr_advtg)^5,IF(B97=Input!$I$16+72,Input!$I$15*(1+annual_incr_advtg)^6,IF(B97=Input!$I$16+84,Input!$I$15*(1+annual_incr_advtg)^7,IF(B97=Input!$I$16+96,Input!$I$15*(1+annual_incr_advtg)^8,IF(B97=Input!$I$16+108,Input!$I$15*(1+annual_incr_advtg)^9,IF(B97=Input!$I$16+120,Input!$I$15*(1+annual_incr_advtg)^10,0))))))))))))</f>
        <v>0</v>
      </c>
      <c r="K97" s="139">
        <f>IF(Input!$I$19="",0,IF(B97=Input!$I$19,Input!$I$18,IF(B97=Input!$I$19+12,Input!$I$18*(1+annual_incr_other1),IF(B97=Input!$I$19+24,Input!$I$18*(1+annual_incr_other1)^2,IF(B97=Input!$I$19+36,Input!$I$18*(1+annual_incr_other1)^3,IF(B97=Input!$I$19+48,Input!$I$18*(1+annual_incr_other1)^4,IF(B97=Input!$I$19+60,Input!$I$18*(1+annual_incr_other1)^5,IF(B97=Input!$I$19+72,Input!$I$18*(1+annual_incr_other1)^6,IF(B97=Input!$I$19+84,Input!$I$18*(1+annual_incr_other1)^7,IF(B97=Input!$I$19+96,Input!$I$18*(1+annual_incr_other1)^8,IF(B97=Input!$I$19+108,Input!$I$18*(1+annual_incr_other1)^9,IF(B97=Input!$I$19+120,Input!$I$18*(1+annual_incr_other1)^10,0))))))))))))</f>
        <v>0</v>
      </c>
      <c r="L97" s="156">
        <f>IF(OR(Input!$I$22="",B97&lt;Input!$I$22),0,IF(AND(B97&gt;=Input!$I$22,B97&lt;Input!$I$22+12),Input!$I$21,IF(B97=Input!$I$22+12,Input!$I$21*(1+annual_incr_other2),IF(B97=Input!$I$22+24,Input!$I$21*(1+annual_incr_other2)^2,IF(B97=Input!$I$22+36,Input!$I$21*(1+annual_incr_other2)^3,IF(B97=Input!$I$22+48,Input!$I$21*(1+annual_incr_other2)^4,IF(B97=Input!$I$22+60,Input!$I$21*(1+annual_incr_other2)^5,IF(B97=Input!$I$22+72,Input!$I$21*(1+annual_incr_other2)^6,IF(B97=Input!$I$22+84,Input!$I$21*(1+annual_incr_other2)^7,IF(B97=Input!$I$22+96,Input!$I$21*(1+annual_incr_other2)^8,IF(B97=Input!$I$22+108,Input!$I$21*(1+annual_incr_other2)^9,IF(B97=Input!$I$22+120,Input!$I$21*(1+annual_incr_other2)^10,L96))))))))))))</f>
        <v>653.77716451751689</v>
      </c>
      <c r="M97" s="139">
        <f>IF(OR(Input!$I$27="",B97&lt;Input!$I$27),0,E97*mgmt_fee)</f>
        <v>2191.0065839999997</v>
      </c>
      <c r="N97" s="139">
        <f>IF(OR(Input!$I$29="",B97&lt;Input!$I$29),0,E97*repairs_maint)</f>
        <v>2677.8969360000001</v>
      </c>
      <c r="O97" s="149">
        <f>IF(Input!$I$31="",0,IF(OR(B97=Input!$I$31,B97=Input!$I$31+12,B97=Input!$I$31+24,B97=Input!$I$31+36,B97=Input!$I$31+48,B97=Input!$I$31+60,B97=Input!$I$31+72,B97=Input!$I$31+84,B97=Input!$I$31+96,B97=Input!$I$31+108,B97=Input!$I$31+120),E97*other_3,0))</f>
        <v>0</v>
      </c>
      <c r="P97" s="158">
        <f t="shared" si="57"/>
        <v>6085.5958330728336</v>
      </c>
      <c r="Q97" s="159">
        <f t="shared" si="58"/>
        <v>237359.58016692716</v>
      </c>
      <c r="R97" s="160"/>
      <c r="S97" s="161">
        <f>IF(AND(leveraged_property,B97&lt;=amort_period),-IPMT(interest_rate/12,B97,amort_period,loan_amount),0)</f>
        <v>38103.025811224143</v>
      </c>
      <c r="T97" s="149">
        <f t="shared" si="59"/>
        <v>15836.929316741087</v>
      </c>
      <c r="U97" s="149">
        <f>IF(AND(leveraged_property,B97&lt;=amort_period),-PMT(interest_rate/12,amort_period,loan_amount),0)</f>
        <v>53939.95512796523</v>
      </c>
      <c r="V97" s="149">
        <f t="shared" si="60"/>
        <v>8297550.5204048883</v>
      </c>
      <c r="W97" s="160"/>
      <c r="X97" s="149">
        <f t="shared" si="61"/>
        <v>121362.41145410156</v>
      </c>
      <c r="Y97" s="162">
        <f t="shared" si="62"/>
        <v>29010470.833988473</v>
      </c>
      <c r="Z97" s="156">
        <f t="shared" si="45"/>
        <v>37303189.314337038</v>
      </c>
      <c r="AA97" s="163">
        <f t="shared" ca="1" si="46"/>
        <v>37303189.314337038</v>
      </c>
      <c r="AB97" s="160"/>
      <c r="AC97" s="164">
        <f>Input!$C$25/12</f>
        <v>26538.461538461535</v>
      </c>
      <c r="AD97" s="139">
        <f t="shared" si="47"/>
        <v>172718.09281724147</v>
      </c>
      <c r="AE97" s="149">
        <f t="shared" si="48"/>
        <v>51815.427845172439</v>
      </c>
      <c r="AF97" s="139">
        <f ca="1">IF(AA97=0,0,AA97-(total_initial_cost-SUM($AC$5:AC97)))</f>
        <v>19071266.237413958</v>
      </c>
      <c r="AG97" s="139">
        <f t="shared" ca="1" si="49"/>
        <v>3814253.2474827915</v>
      </c>
      <c r="AH97" s="149">
        <f t="shared" ca="1" si="63"/>
        <v>33488936.066854246</v>
      </c>
      <c r="AI97" s="103"/>
      <c r="AJ97" s="165">
        <f t="shared" ca="1" si="50"/>
        <v>12788936.066854246</v>
      </c>
      <c r="AK97" s="165">
        <f t="shared" ca="1" si="66"/>
        <v>14484865.547269056</v>
      </c>
      <c r="AL97" s="300">
        <f t="shared" ca="1" si="67"/>
        <v>1.2932915667204514</v>
      </c>
      <c r="AM97" s="300">
        <f t="shared" si="68"/>
        <v>0.18758274651562828</v>
      </c>
      <c r="AN97" s="300">
        <f t="shared" si="69"/>
        <v>0.13276358562853235</v>
      </c>
      <c r="AO97" s="301">
        <f>IF(leveraged_property,SUM(Q86:Q97)/SUM(U86:U97),"N/A")</f>
        <v>4.245780046829962</v>
      </c>
      <c r="AP97" s="103"/>
      <c r="AQ97" s="149">
        <f t="shared" si="64"/>
        <v>183419.62503896194</v>
      </c>
      <c r="AR97" s="149">
        <f t="shared" ca="1" si="51"/>
        <v>29189058.418971106</v>
      </c>
      <c r="AS97" s="288">
        <f ca="1">IF(down_payment&lt;=0,"N/A",IRR(($AQ$4:AQ96,AR97),))</f>
        <v>1.7202349289694271E-2</v>
      </c>
      <c r="AT97" s="290">
        <f t="shared" ca="1" si="52"/>
        <v>0.22712344708589893</v>
      </c>
      <c r="AU97" s="288">
        <f ca="1">IF(down_payment&lt;=0,"N/A",MIRR(($AQ$4:AQ96,AR97),finance_rate,reinvestment_rate))</f>
        <v>1.6653672178869927E-2</v>
      </c>
      <c r="AV97" s="290">
        <f t="shared" ca="1" si="53"/>
        <v>0.21920407082196003</v>
      </c>
      <c r="AW97" s="103"/>
      <c r="AX97" s="194" t="str">
        <f t="shared" si="54"/>
        <v/>
      </c>
      <c r="AY97" s="296" t="str">
        <f>IF(AND(B97=$BA$4,OR(down_payment&lt;=0,purchase_date="")),"N/A",IF(B97=$BA$4,XIRR(AX$4:AX97,A$4:A97),""))</f>
        <v/>
      </c>
      <c r="BA97" s="178"/>
    </row>
    <row r="98" spans="1:53">
      <c r="A98" s="137">
        <f t="shared" si="65"/>
        <v>43023</v>
      </c>
      <c r="B98" s="138">
        <f t="shared" si="55"/>
        <v>94</v>
      </c>
      <c r="C98" s="139">
        <f>C97+(C97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8" s="139">
        <f t="shared" si="44"/>
        <v>12812.904000000002</v>
      </c>
      <c r="E98" s="140">
        <f t="shared" si="56"/>
        <v>243445.17600000001</v>
      </c>
      <c r="F98" s="141"/>
      <c r="G98" s="157">
        <f>IF(Input!$I$7="",0,IF(B98=Input!$I$7,Input!$I$6,IF(B98=Input!$I$7+12,Input!$I$6*(1+annual_incr_proptax),IF(B98=Input!$I$7+24,Input!$I$6*(1+annual_incr_proptax)^2,IF(B98=Input!$I$7+36,Input!$I$6*(1+annual_incr_proptax)^3,IF(B98=Input!$I$7+48,Input!$I$6*(1+annual_incr_proptax)^4,IF(B98=Input!$I$7+60,Input!$I$6*(1+annual_incr_proptax)^5,IF(B98=Input!$I$7+72,Input!$I$6*(1+annual_incr_proptax)^6,IF(B98=Input!$I$7+84,Input!$I$6*(1+annual_incr_proptax)^7,IF(B98=Input!$I$7+96,Input!$I$6*(1+annual_incr_proptax)^8,IF(B98=Input!$I$7+108,Input!$I$6*(1+annual_incr_proptax)^9,IF(B98=Input!$I$7+120,Input!$I$6*(1+annual_incr_proptax)^10,0))))))))))))</f>
        <v>0</v>
      </c>
      <c r="H98" s="139">
        <f>IF(Input!$I$10="",0,IF(B98=Input!$I$10,Input!$I$9,IF(B98=Input!$I$10+12,Input!$I$9*(1+annual_incr_ins),IF(B98=Input!$I$10+24,Input!$I$9*(1+annual_incr_ins)^2,IF(B98=Input!$I$10+36,Input!$I$9*(1+annual_incr_ins)^3,IF(B98=Input!$I$10+48,Input!$I$9*(1+annual_incr_ins)^4,IF(B98=Input!$I$10+60,Input!$I$9*(1+annual_incr_ins)^5,IF(B98=Input!$I$10+72,Input!$I$9*(1+annual_incr_ins)^6,IF(B98=Input!$I$10+84,Input!$I$9*(1+annual_incr_ins)^7,IF(B98=Input!$I$10+96,Input!$I$9*(1+annual_incr_ins)^8,IF(B98=Input!$I$10+108,Input!$I$9*(1+annual_incr_ins)^9,IF(B98=Input!$I$10+120,Input!$I$9*(1+annual_incr_ins)^10,0))))))))))))</f>
        <v>0</v>
      </c>
      <c r="I98" s="139">
        <f>IF(OR(Input!$I$13="",B98&lt;Input!$I$13),0,IF(AND(B98&gt;=Input!$I$13,B98&lt;Input!$I$13+12),Input!$I$12,IF(B98=Input!$I$13+12,Input!$I$12*(1+annual_incr_util),IF(B98=Input!$I$13+24,Input!$I$12*(1+annual_incr_util)^2,IF(B98=Input!$I$13+36,Input!$I$12*(1+annual_incr_util)^3,IF(B98=Input!$I$13+48,Input!$I$12*(1+annual_incr_util)^4,IF(B98=Input!$I$13+60,Input!$I$12*(1+annual_incr_util)^5,IF(B98=Input!$I$13+72,Input!$I$12*(1+annual_incr_util)^6,IF(B98=Input!$I$13+84,Input!$I$12*(1+annual_incr_util)^7,IF(B98=Input!$I$13+96,Input!$I$12*(1+annual_incr_util)^8,IF(B98=Input!$I$13+108,Input!$I$12*(1+annual_incr_util)^9,IF(B98=Input!$I$13+120,Input!$I$12*(1+annual_incr_util)^10,I97))))))))))))</f>
        <v>562.91514855531739</v>
      </c>
      <c r="J98" s="139">
        <f>IF(Input!$I$16="",0,IF(B98=Input!$I$16,Input!$I$15,IF(B98=Input!$I$16+12,Input!$I$15*(1+annual_incr_advtg),IF(B98=Input!$I$16+24,Input!$I$15*(1+annual_incr_advtg)^2,IF(B98=Input!$I$16+36,Input!$I$15*(1+annual_incr_advtg)^3,IF(B98=Input!$I$16+48,Input!$I$15*(1+annual_incr_advtg)^4,IF(B98=Input!$I$16+60,Input!$I$15*(1+annual_incr_advtg)^5,IF(B98=Input!$I$16+72,Input!$I$15*(1+annual_incr_advtg)^6,IF(B98=Input!$I$16+84,Input!$I$15*(1+annual_incr_advtg)^7,IF(B98=Input!$I$16+96,Input!$I$15*(1+annual_incr_advtg)^8,IF(B98=Input!$I$16+108,Input!$I$15*(1+annual_incr_advtg)^9,IF(B98=Input!$I$16+120,Input!$I$15*(1+annual_incr_advtg)^10,0))))))))))))</f>
        <v>0</v>
      </c>
      <c r="K98" s="139">
        <f>IF(Input!$I$19="",0,IF(B98=Input!$I$19,Input!$I$18,IF(B98=Input!$I$19+12,Input!$I$18*(1+annual_incr_other1),IF(B98=Input!$I$19+24,Input!$I$18*(1+annual_incr_other1)^2,IF(B98=Input!$I$19+36,Input!$I$18*(1+annual_incr_other1)^3,IF(B98=Input!$I$19+48,Input!$I$18*(1+annual_incr_other1)^4,IF(B98=Input!$I$19+60,Input!$I$18*(1+annual_incr_other1)^5,IF(B98=Input!$I$19+72,Input!$I$18*(1+annual_incr_other1)^6,IF(B98=Input!$I$19+84,Input!$I$18*(1+annual_incr_other1)^7,IF(B98=Input!$I$19+96,Input!$I$18*(1+annual_incr_other1)^8,IF(B98=Input!$I$19+108,Input!$I$18*(1+annual_incr_other1)^9,IF(B98=Input!$I$19+120,Input!$I$18*(1+annual_incr_other1)^10,0))))))))))))</f>
        <v>0</v>
      </c>
      <c r="L98" s="156">
        <f>IF(OR(Input!$I$22="",B98&lt;Input!$I$22),0,IF(AND(B98&gt;=Input!$I$22,B98&lt;Input!$I$22+12),Input!$I$21,IF(B98=Input!$I$22+12,Input!$I$21*(1+annual_incr_other2),IF(B98=Input!$I$22+24,Input!$I$21*(1+annual_incr_other2)^2,IF(B98=Input!$I$22+36,Input!$I$21*(1+annual_incr_other2)^3,IF(B98=Input!$I$22+48,Input!$I$21*(1+annual_incr_other2)^4,IF(B98=Input!$I$22+60,Input!$I$21*(1+annual_incr_other2)^5,IF(B98=Input!$I$22+72,Input!$I$21*(1+annual_incr_other2)^6,IF(B98=Input!$I$22+84,Input!$I$21*(1+annual_incr_other2)^7,IF(B98=Input!$I$22+96,Input!$I$21*(1+annual_incr_other2)^8,IF(B98=Input!$I$22+108,Input!$I$21*(1+annual_incr_other2)^9,IF(B98=Input!$I$22+120,Input!$I$21*(1+annual_incr_other2)^10,L97))))))))))))</f>
        <v>653.77716451751689</v>
      </c>
      <c r="M98" s="139">
        <f>IF(OR(Input!$I$27="",B98&lt;Input!$I$27),0,E98*mgmt_fee)</f>
        <v>2191.0065839999997</v>
      </c>
      <c r="N98" s="139">
        <f>IF(OR(Input!$I$29="",B98&lt;Input!$I$29),0,E98*repairs_maint)</f>
        <v>2677.8969360000001</v>
      </c>
      <c r="O98" s="149">
        <f>IF(Input!$I$31="",0,IF(OR(B98=Input!$I$31,B98=Input!$I$31+12,B98=Input!$I$31+24,B98=Input!$I$31+36,B98=Input!$I$31+48,B98=Input!$I$31+60,B98=Input!$I$31+72,B98=Input!$I$31+84,B98=Input!$I$31+96,B98=Input!$I$31+108,B98=Input!$I$31+120),E98*other_3,0))</f>
        <v>0</v>
      </c>
      <c r="P98" s="158">
        <f t="shared" si="57"/>
        <v>6085.5958330728336</v>
      </c>
      <c r="Q98" s="159">
        <f t="shared" si="58"/>
        <v>237359.58016692716</v>
      </c>
      <c r="R98" s="160"/>
      <c r="S98" s="161">
        <f>IF(AND(leveraged_property,B98&lt;=amort_period),-IPMT(interest_rate/12,B98,amort_period,loan_amount),0)</f>
        <v>38030.43988518908</v>
      </c>
      <c r="T98" s="149">
        <f t="shared" si="59"/>
        <v>15909.51524277615</v>
      </c>
      <c r="U98" s="149">
        <f>IF(AND(leveraged_property,B98&lt;=amort_period),-PMT(interest_rate/12,amort_period,loan_amount),0)</f>
        <v>53939.95512796523</v>
      </c>
      <c r="V98" s="149">
        <f t="shared" si="60"/>
        <v>8281641.0051621124</v>
      </c>
      <c r="W98" s="160"/>
      <c r="X98" s="149">
        <f t="shared" si="61"/>
        <v>121362.41145410156</v>
      </c>
      <c r="Y98" s="162">
        <f t="shared" si="62"/>
        <v>29126978.748984411</v>
      </c>
      <c r="Z98" s="156">
        <f t="shared" si="45"/>
        <v>37789469.240138948</v>
      </c>
      <c r="AA98" s="163">
        <f t="shared" ca="1" si="46"/>
        <v>37789469.240138948</v>
      </c>
      <c r="AB98" s="160"/>
      <c r="AC98" s="164">
        <f>Input!$C$25/12</f>
        <v>26538.461538461535</v>
      </c>
      <c r="AD98" s="139">
        <f t="shared" si="47"/>
        <v>172790.67874327654</v>
      </c>
      <c r="AE98" s="149">
        <f t="shared" si="48"/>
        <v>51837.203622982961</v>
      </c>
      <c r="AF98" s="139">
        <f ca="1">IF(AA98=0,0,AA98-(total_initial_cost-SUM($AC$5:AC98)))</f>
        <v>19584084.624754332</v>
      </c>
      <c r="AG98" s="139">
        <f t="shared" ca="1" si="49"/>
        <v>3916816.9249508665</v>
      </c>
      <c r="AH98" s="149">
        <f t="shared" ca="1" si="63"/>
        <v>33872652.31518808</v>
      </c>
      <c r="AI98" s="103"/>
      <c r="AJ98" s="165">
        <f t="shared" ca="1" si="50"/>
        <v>13172652.31518808</v>
      </c>
      <c r="AK98" s="165">
        <f t="shared" ca="1" si="66"/>
        <v>14869152.882483657</v>
      </c>
      <c r="AL98" s="300">
        <f t="shared" ca="1" si="67"/>
        <v>1.3276029359360408</v>
      </c>
      <c r="AM98" s="300">
        <f t="shared" si="68"/>
        <v>0.18757974074212219</v>
      </c>
      <c r="AN98" s="300">
        <f t="shared" si="69"/>
        <v>0.13276195931629717</v>
      </c>
      <c r="AO98" s="301">
        <f>IF(leveraged_property,SUM(Q87:Q98)/SUM(U87:U98),"N/A")</f>
        <v>4.2457280373575959</v>
      </c>
      <c r="AP98" s="103"/>
      <c r="AQ98" s="149">
        <f t="shared" si="64"/>
        <v>183419.62503896194</v>
      </c>
      <c r="AR98" s="149">
        <f t="shared" ca="1" si="51"/>
        <v>29691247.860015795</v>
      </c>
      <c r="AS98" s="288">
        <f ca="1">IF(down_payment&lt;=0,"N/A",IRR(($AQ$4:AQ97,AR98),))</f>
        <v>1.7251431378723737E-2</v>
      </c>
      <c r="AT98" s="290">
        <f t="shared" ca="1" si="52"/>
        <v>0.22783417020659646</v>
      </c>
      <c r="AU98" s="288">
        <f ca="1">IF(down_payment&lt;=0,"N/A",MIRR(($AQ$4:AQ97,AR98),finance_rate,reinvestment_rate))</f>
        <v>1.6687245083904845E-2</v>
      </c>
      <c r="AV98" s="290">
        <f t="shared" ca="1" si="53"/>
        <v>0.21968729918723873</v>
      </c>
      <c r="AW98" s="103"/>
      <c r="AX98" s="194" t="str">
        <f t="shared" si="54"/>
        <v/>
      </c>
      <c r="AY98" s="296" t="str">
        <f>IF(AND(B98=$BA$4,OR(down_payment&lt;=0,purchase_date="")),"N/A",IF(B98=$BA$4,XIRR(AX$4:AX98,A$4:A98),""))</f>
        <v/>
      </c>
      <c r="BA98" s="178"/>
    </row>
    <row r="99" spans="1:53">
      <c r="A99" s="137">
        <f t="shared" si="65"/>
        <v>43054</v>
      </c>
      <c r="B99" s="138">
        <f t="shared" si="55"/>
        <v>95</v>
      </c>
      <c r="C99" s="139">
        <f>C98+(C98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99" s="139">
        <f t="shared" si="44"/>
        <v>12812.904000000002</v>
      </c>
      <c r="E99" s="140">
        <f t="shared" si="56"/>
        <v>243445.17600000001</v>
      </c>
      <c r="F99" s="141"/>
      <c r="G99" s="157">
        <f>IF(Input!$I$7="",0,IF(B99=Input!$I$7,Input!$I$6,IF(B99=Input!$I$7+12,Input!$I$6*(1+annual_incr_proptax),IF(B99=Input!$I$7+24,Input!$I$6*(1+annual_incr_proptax)^2,IF(B99=Input!$I$7+36,Input!$I$6*(1+annual_incr_proptax)^3,IF(B99=Input!$I$7+48,Input!$I$6*(1+annual_incr_proptax)^4,IF(B99=Input!$I$7+60,Input!$I$6*(1+annual_incr_proptax)^5,IF(B99=Input!$I$7+72,Input!$I$6*(1+annual_incr_proptax)^6,IF(B99=Input!$I$7+84,Input!$I$6*(1+annual_incr_proptax)^7,IF(B99=Input!$I$7+96,Input!$I$6*(1+annual_incr_proptax)^8,IF(B99=Input!$I$7+108,Input!$I$6*(1+annual_incr_proptax)^9,IF(B99=Input!$I$7+120,Input!$I$6*(1+annual_incr_proptax)^10,0))))))))))))</f>
        <v>0</v>
      </c>
      <c r="H99" s="139">
        <f>IF(Input!$I$10="",0,IF(B99=Input!$I$10,Input!$I$9,IF(B99=Input!$I$10+12,Input!$I$9*(1+annual_incr_ins),IF(B99=Input!$I$10+24,Input!$I$9*(1+annual_incr_ins)^2,IF(B99=Input!$I$10+36,Input!$I$9*(1+annual_incr_ins)^3,IF(B99=Input!$I$10+48,Input!$I$9*(1+annual_incr_ins)^4,IF(B99=Input!$I$10+60,Input!$I$9*(1+annual_incr_ins)^5,IF(B99=Input!$I$10+72,Input!$I$9*(1+annual_incr_ins)^6,IF(B99=Input!$I$10+84,Input!$I$9*(1+annual_incr_ins)^7,IF(B99=Input!$I$10+96,Input!$I$9*(1+annual_incr_ins)^8,IF(B99=Input!$I$10+108,Input!$I$9*(1+annual_incr_ins)^9,IF(B99=Input!$I$10+120,Input!$I$9*(1+annual_incr_ins)^10,0))))))))))))</f>
        <v>0</v>
      </c>
      <c r="I99" s="139">
        <f>IF(OR(Input!$I$13="",B99&lt;Input!$I$13),0,IF(AND(B99&gt;=Input!$I$13,B99&lt;Input!$I$13+12),Input!$I$12,IF(B99=Input!$I$13+12,Input!$I$12*(1+annual_incr_util),IF(B99=Input!$I$13+24,Input!$I$12*(1+annual_incr_util)^2,IF(B99=Input!$I$13+36,Input!$I$12*(1+annual_incr_util)^3,IF(B99=Input!$I$13+48,Input!$I$12*(1+annual_incr_util)^4,IF(B99=Input!$I$13+60,Input!$I$12*(1+annual_incr_util)^5,IF(B99=Input!$I$13+72,Input!$I$12*(1+annual_incr_util)^6,IF(B99=Input!$I$13+84,Input!$I$12*(1+annual_incr_util)^7,IF(B99=Input!$I$13+96,Input!$I$12*(1+annual_incr_util)^8,IF(B99=Input!$I$13+108,Input!$I$12*(1+annual_incr_util)^9,IF(B99=Input!$I$13+120,Input!$I$12*(1+annual_incr_util)^10,I98))))))))))))</f>
        <v>562.91514855531739</v>
      </c>
      <c r="J99" s="139">
        <f>IF(Input!$I$16="",0,IF(B99=Input!$I$16,Input!$I$15,IF(B99=Input!$I$16+12,Input!$I$15*(1+annual_incr_advtg),IF(B99=Input!$I$16+24,Input!$I$15*(1+annual_incr_advtg)^2,IF(B99=Input!$I$16+36,Input!$I$15*(1+annual_incr_advtg)^3,IF(B99=Input!$I$16+48,Input!$I$15*(1+annual_incr_advtg)^4,IF(B99=Input!$I$16+60,Input!$I$15*(1+annual_incr_advtg)^5,IF(B99=Input!$I$16+72,Input!$I$15*(1+annual_incr_advtg)^6,IF(B99=Input!$I$16+84,Input!$I$15*(1+annual_incr_advtg)^7,IF(B99=Input!$I$16+96,Input!$I$15*(1+annual_incr_advtg)^8,IF(B99=Input!$I$16+108,Input!$I$15*(1+annual_incr_advtg)^9,IF(B99=Input!$I$16+120,Input!$I$15*(1+annual_incr_advtg)^10,0))))))))))))</f>
        <v>0</v>
      </c>
      <c r="K99" s="139">
        <f>IF(Input!$I$19="",0,IF(B99=Input!$I$19,Input!$I$18,IF(B99=Input!$I$19+12,Input!$I$18*(1+annual_incr_other1),IF(B99=Input!$I$19+24,Input!$I$18*(1+annual_incr_other1)^2,IF(B99=Input!$I$19+36,Input!$I$18*(1+annual_incr_other1)^3,IF(B99=Input!$I$19+48,Input!$I$18*(1+annual_incr_other1)^4,IF(B99=Input!$I$19+60,Input!$I$18*(1+annual_incr_other1)^5,IF(B99=Input!$I$19+72,Input!$I$18*(1+annual_incr_other1)^6,IF(B99=Input!$I$19+84,Input!$I$18*(1+annual_incr_other1)^7,IF(B99=Input!$I$19+96,Input!$I$18*(1+annual_incr_other1)^8,IF(B99=Input!$I$19+108,Input!$I$18*(1+annual_incr_other1)^9,IF(B99=Input!$I$19+120,Input!$I$18*(1+annual_incr_other1)^10,0))))))))))))</f>
        <v>0</v>
      </c>
      <c r="L99" s="156">
        <f>IF(OR(Input!$I$22="",B99&lt;Input!$I$22),0,IF(AND(B99&gt;=Input!$I$22,B99&lt;Input!$I$22+12),Input!$I$21,IF(B99=Input!$I$22+12,Input!$I$21*(1+annual_incr_other2),IF(B99=Input!$I$22+24,Input!$I$21*(1+annual_incr_other2)^2,IF(B99=Input!$I$22+36,Input!$I$21*(1+annual_incr_other2)^3,IF(B99=Input!$I$22+48,Input!$I$21*(1+annual_incr_other2)^4,IF(B99=Input!$I$22+60,Input!$I$21*(1+annual_incr_other2)^5,IF(B99=Input!$I$22+72,Input!$I$21*(1+annual_incr_other2)^6,IF(B99=Input!$I$22+84,Input!$I$21*(1+annual_incr_other2)^7,IF(B99=Input!$I$22+96,Input!$I$21*(1+annual_incr_other2)^8,IF(B99=Input!$I$22+108,Input!$I$21*(1+annual_incr_other2)^9,IF(B99=Input!$I$22+120,Input!$I$21*(1+annual_incr_other2)^10,L98))))))))))))</f>
        <v>653.77716451751689</v>
      </c>
      <c r="M99" s="139">
        <f>IF(OR(Input!$I$27="",B99&lt;Input!$I$27),0,E99*mgmt_fee)</f>
        <v>2191.0065839999997</v>
      </c>
      <c r="N99" s="139">
        <f>IF(OR(Input!$I$29="",B99&lt;Input!$I$29),0,E99*repairs_maint)</f>
        <v>2677.8969360000001</v>
      </c>
      <c r="O99" s="149">
        <f>IF(Input!$I$31="",0,IF(OR(B99=Input!$I$31,B99=Input!$I$31+12,B99=Input!$I$31+24,B99=Input!$I$31+36,B99=Input!$I$31+48,B99=Input!$I$31+60,B99=Input!$I$31+72,B99=Input!$I$31+84,B99=Input!$I$31+96,B99=Input!$I$31+108,B99=Input!$I$31+120),E99*other_3,0))</f>
        <v>0</v>
      </c>
      <c r="P99" s="158">
        <f t="shared" si="57"/>
        <v>6085.5958330728336</v>
      </c>
      <c r="Q99" s="159">
        <f t="shared" si="58"/>
        <v>237359.58016692716</v>
      </c>
      <c r="R99" s="160"/>
      <c r="S99" s="161">
        <f>IF(AND(leveraged_property,B99&lt;=amort_period),-IPMT(interest_rate/12,B99,amort_period,loan_amount),0)</f>
        <v>37957.521273659688</v>
      </c>
      <c r="T99" s="149">
        <f t="shared" si="59"/>
        <v>15982.433854305542</v>
      </c>
      <c r="U99" s="149">
        <f>IF(AND(leveraged_property,B99&lt;=amort_period),-PMT(interest_rate/12,amort_period,loan_amount),0)</f>
        <v>53939.95512796523</v>
      </c>
      <c r="V99" s="149">
        <f t="shared" si="60"/>
        <v>8265658.5713078072</v>
      </c>
      <c r="W99" s="160"/>
      <c r="X99" s="149">
        <f t="shared" si="61"/>
        <v>121362.41145410156</v>
      </c>
      <c r="Y99" s="162">
        <f t="shared" si="62"/>
        <v>29243486.66398035</v>
      </c>
      <c r="Z99" s="156">
        <f t="shared" si="45"/>
        <v>38275749.165940851</v>
      </c>
      <c r="AA99" s="163">
        <f t="shared" ca="1" si="46"/>
        <v>38275749.165940851</v>
      </c>
      <c r="AB99" s="160"/>
      <c r="AC99" s="164">
        <f>Input!$C$25/12</f>
        <v>26538.461538461535</v>
      </c>
      <c r="AD99" s="139">
        <f t="shared" si="47"/>
        <v>172863.59735480594</v>
      </c>
      <c r="AE99" s="149">
        <f t="shared" si="48"/>
        <v>51859.079206441784</v>
      </c>
      <c r="AF99" s="139">
        <f ca="1">IF(AA99=0,0,AA99-(total_initial_cost-SUM($AC$5:AC99)))</f>
        <v>20096903.012094695</v>
      </c>
      <c r="AG99" s="139">
        <f t="shared" ca="1" si="49"/>
        <v>4019380.6024189391</v>
      </c>
      <c r="AH99" s="149">
        <f t="shared" ca="1" si="63"/>
        <v>34256368.563521914</v>
      </c>
      <c r="AI99" s="103"/>
      <c r="AJ99" s="165">
        <f t="shared" ca="1" si="50"/>
        <v>13556368.563521914</v>
      </c>
      <c r="AK99" s="165">
        <f t="shared" ca="1" si="66"/>
        <v>15253442.943187257</v>
      </c>
      <c r="AL99" s="300">
        <f t="shared" ca="1" si="67"/>
        <v>1.3619145484988622</v>
      </c>
      <c r="AM99" s="300">
        <f t="shared" si="68"/>
        <v>0.18757673496861604</v>
      </c>
      <c r="AN99" s="300">
        <f t="shared" si="69"/>
        <v>0.13276033300406195</v>
      </c>
      <c r="AO99" s="301">
        <f>IF(leveraged_property,SUM(Q88:Q99)/SUM(U88:U99),"N/A")</f>
        <v>4.2456760278852288</v>
      </c>
      <c r="AP99" s="103"/>
      <c r="AQ99" s="149">
        <f t="shared" si="64"/>
        <v>183419.62503896194</v>
      </c>
      <c r="AR99" s="149">
        <f t="shared" ca="1" si="51"/>
        <v>30193510.219672002</v>
      </c>
      <c r="AS99" s="288">
        <f ca="1">IF(down_payment&lt;=0,"N/A",IRR(($AQ$4:AQ98,AR99),))</f>
        <v>1.7296530733613282E-2</v>
      </c>
      <c r="AT99" s="290">
        <f t="shared" ca="1" si="52"/>
        <v>0.22848755478931593</v>
      </c>
      <c r="AU99" s="288">
        <f ca="1">IF(down_payment&lt;=0,"N/A",MIRR(($AQ$4:AQ98,AR99),finance_rate,reinvestment_rate))</f>
        <v>1.6717655107322926E-2</v>
      </c>
      <c r="AV99" s="290">
        <f t="shared" ca="1" si="53"/>
        <v>0.2201251544499232</v>
      </c>
      <c r="AW99" s="103"/>
      <c r="AX99" s="194" t="str">
        <f t="shared" si="54"/>
        <v/>
      </c>
      <c r="AY99" s="296" t="str">
        <f>IF(AND(B99=$BA$4,OR(down_payment&lt;=0,purchase_date="")),"N/A",IF(B99=$BA$4,XIRR(AX$4:AX99,A$4:A99),""))</f>
        <v/>
      </c>
      <c r="BA99" s="178"/>
    </row>
    <row r="100" spans="1:53">
      <c r="A100" s="181">
        <f t="shared" si="65"/>
        <v>43084</v>
      </c>
      <c r="B100" s="182">
        <f t="shared" si="55"/>
        <v>96</v>
      </c>
      <c r="C100" s="183">
        <f>C99+(C99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256258.08000000002</v>
      </c>
      <c r="D100" s="183">
        <f t="shared" si="44"/>
        <v>12812.904000000002</v>
      </c>
      <c r="E100" s="184">
        <f t="shared" si="56"/>
        <v>243445.17600000001</v>
      </c>
      <c r="F100" s="141"/>
      <c r="G100" s="185">
        <f>IF(Input!$I$7="",0,IF(B100=Input!$I$7,Input!$I$6,IF(B100=Input!$I$7+12,Input!$I$6*(1+annual_incr_proptax),IF(B100=Input!$I$7+24,Input!$I$6*(1+annual_incr_proptax)^2,IF(B100=Input!$I$7+36,Input!$I$6*(1+annual_incr_proptax)^3,IF(B100=Input!$I$7+48,Input!$I$6*(1+annual_incr_proptax)^4,IF(B100=Input!$I$7+60,Input!$I$6*(1+annual_incr_proptax)^5,IF(B100=Input!$I$7+72,Input!$I$6*(1+annual_incr_proptax)^6,IF(B100=Input!$I$7+84,Input!$I$6*(1+annual_incr_proptax)^7,IF(B100=Input!$I$7+96,Input!$I$6*(1+annual_incr_proptax)^8,IF(B100=Input!$I$7+108,Input!$I$6*(1+annual_incr_proptax)^9,IF(B100=Input!$I$7+120,Input!$I$6*(1+annual_incr_proptax)^10,0))))))))))))</f>
        <v>0</v>
      </c>
      <c r="H100" s="183">
        <f>IF(Input!$I$10="",0,IF(B100=Input!$I$10,Input!$I$9,IF(B100=Input!$I$10+12,Input!$I$9*(1+annual_incr_ins),IF(B100=Input!$I$10+24,Input!$I$9*(1+annual_incr_ins)^2,IF(B100=Input!$I$10+36,Input!$I$9*(1+annual_incr_ins)^3,IF(B100=Input!$I$10+48,Input!$I$9*(1+annual_incr_ins)^4,IF(B100=Input!$I$10+60,Input!$I$9*(1+annual_incr_ins)^5,IF(B100=Input!$I$10+72,Input!$I$9*(1+annual_incr_ins)^6,IF(B100=Input!$I$10+84,Input!$I$9*(1+annual_incr_ins)^7,IF(B100=Input!$I$10+96,Input!$I$9*(1+annual_incr_ins)^8,IF(B100=Input!$I$10+108,Input!$I$9*(1+annual_incr_ins)^9,IF(B100=Input!$I$10+120,Input!$I$9*(1+annual_incr_ins)^10,0))))))))))))</f>
        <v>0</v>
      </c>
      <c r="I100" s="183">
        <f>IF(OR(Input!$I$13="",B100&lt;Input!$I$13),0,IF(AND(B100&gt;=Input!$I$13,B100&lt;Input!$I$13+12),Input!$I$12,IF(B100=Input!$I$13+12,Input!$I$12*(1+annual_incr_util),IF(B100=Input!$I$13+24,Input!$I$12*(1+annual_incr_util)^2,IF(B100=Input!$I$13+36,Input!$I$12*(1+annual_incr_util)^3,IF(B100=Input!$I$13+48,Input!$I$12*(1+annual_incr_util)^4,IF(B100=Input!$I$13+60,Input!$I$12*(1+annual_incr_util)^5,IF(B100=Input!$I$13+72,Input!$I$12*(1+annual_incr_util)^6,IF(B100=Input!$I$13+84,Input!$I$12*(1+annual_incr_util)^7,IF(B100=Input!$I$13+96,Input!$I$12*(1+annual_incr_util)^8,IF(B100=Input!$I$13+108,Input!$I$12*(1+annual_incr_util)^9,IF(B100=Input!$I$13+120,Input!$I$12*(1+annual_incr_util)^10,I99))))))))))))</f>
        <v>562.91514855531739</v>
      </c>
      <c r="J100" s="183">
        <f>IF(Input!$I$16="",0,IF(B100=Input!$I$16,Input!$I$15,IF(B100=Input!$I$16+12,Input!$I$15*(1+annual_incr_advtg),IF(B100=Input!$I$16+24,Input!$I$15*(1+annual_incr_advtg)^2,IF(B100=Input!$I$16+36,Input!$I$15*(1+annual_incr_advtg)^3,IF(B100=Input!$I$16+48,Input!$I$15*(1+annual_incr_advtg)^4,IF(B100=Input!$I$16+60,Input!$I$15*(1+annual_incr_advtg)^5,IF(B100=Input!$I$16+72,Input!$I$15*(1+annual_incr_advtg)^6,IF(B100=Input!$I$16+84,Input!$I$15*(1+annual_incr_advtg)^7,IF(B100=Input!$I$16+96,Input!$I$15*(1+annual_incr_advtg)^8,IF(B100=Input!$I$16+108,Input!$I$15*(1+annual_incr_advtg)^9,IF(B100=Input!$I$16+120,Input!$I$15*(1+annual_incr_advtg)^10,0))))))))))))</f>
        <v>0</v>
      </c>
      <c r="K100" s="183">
        <f>IF(Input!$I$19="",0,IF(B100=Input!$I$19,Input!$I$18,IF(B100=Input!$I$19+12,Input!$I$18*(1+annual_incr_other1),IF(B100=Input!$I$19+24,Input!$I$18*(1+annual_incr_other1)^2,IF(B100=Input!$I$19+36,Input!$I$18*(1+annual_incr_other1)^3,IF(B100=Input!$I$19+48,Input!$I$18*(1+annual_incr_other1)^4,IF(B100=Input!$I$19+60,Input!$I$18*(1+annual_incr_other1)^5,IF(B100=Input!$I$19+72,Input!$I$18*(1+annual_incr_other1)^6,IF(B100=Input!$I$19+84,Input!$I$18*(1+annual_incr_other1)^7,IF(B100=Input!$I$19+96,Input!$I$18*(1+annual_incr_other1)^8,IF(B100=Input!$I$19+108,Input!$I$18*(1+annual_incr_other1)^9,IF(B100=Input!$I$19+120,Input!$I$18*(1+annual_incr_other1)^10,0))))))))))))</f>
        <v>0</v>
      </c>
      <c r="L100" s="183">
        <f>IF(OR(Input!$I$22="",B100&lt;Input!$I$22),0,IF(AND(B100&gt;=Input!$I$22,B100&lt;Input!$I$22+12),Input!$I$21,IF(B100=Input!$I$22+12,Input!$I$21*(1+annual_incr_other2),IF(B100=Input!$I$22+24,Input!$I$21*(1+annual_incr_other2)^2,IF(B100=Input!$I$22+36,Input!$I$21*(1+annual_incr_other2)^3,IF(B100=Input!$I$22+48,Input!$I$21*(1+annual_incr_other2)^4,IF(B100=Input!$I$22+60,Input!$I$21*(1+annual_incr_other2)^5,IF(B100=Input!$I$22+72,Input!$I$21*(1+annual_incr_other2)^6,IF(B100=Input!$I$22+84,Input!$I$21*(1+annual_incr_other2)^7,IF(B100=Input!$I$22+96,Input!$I$21*(1+annual_incr_other2)^8,IF(B100=Input!$I$22+108,Input!$I$21*(1+annual_incr_other2)^9,IF(B100=Input!$I$22+120,Input!$I$21*(1+annual_incr_other2)^10,L99))))))))))))</f>
        <v>653.77716451751689</v>
      </c>
      <c r="M100" s="183">
        <f>IF(OR(Input!$I$27="",B100&lt;Input!$I$27),0,E100*mgmt_fee)</f>
        <v>2191.0065839999997</v>
      </c>
      <c r="N100" s="183">
        <f>IF(OR(Input!$I$29="",B100&lt;Input!$I$29),0,E100*repairs_maint)</f>
        <v>2677.8969360000001</v>
      </c>
      <c r="O100" s="186">
        <f>IF(Input!$I$31="",0,IF(OR(B100=Input!$I$31,B100=Input!$I$31+12,B100=Input!$I$31+24,B100=Input!$I$31+36,B100=Input!$I$31+48,B100=Input!$I$31+60,B100=Input!$I$31+72,B100=Input!$I$31+84,B100=Input!$I$31+96,B100=Input!$I$31+108,B100=Input!$I$31+120),E100*other_3,0))</f>
        <v>0</v>
      </c>
      <c r="P100" s="187">
        <f t="shared" si="57"/>
        <v>6085.5958330728336</v>
      </c>
      <c r="Q100" s="188">
        <f t="shared" si="58"/>
        <v>237359.58016692716</v>
      </c>
      <c r="R100" s="160"/>
      <c r="S100" s="189">
        <f>IF(AND(leveraged_property,B100&lt;=amort_period),-IPMT(interest_rate/12,B100,amort_period,loan_amount),0)</f>
        <v>37884.268451827462</v>
      </c>
      <c r="T100" s="186">
        <f t="shared" si="59"/>
        <v>16055.686676137768</v>
      </c>
      <c r="U100" s="186">
        <f>IF(AND(leveraged_property,B100&lt;=amort_period),-PMT(interest_rate/12,amort_period,loan_amount),0)</f>
        <v>53939.95512796523</v>
      </c>
      <c r="V100" s="186">
        <f t="shared" si="60"/>
        <v>8249602.8846316691</v>
      </c>
      <c r="W100" s="160"/>
      <c r="X100" s="186">
        <f t="shared" si="61"/>
        <v>121362.41145410156</v>
      </c>
      <c r="Y100" s="186">
        <f t="shared" si="62"/>
        <v>29359994.578976288</v>
      </c>
      <c r="Z100" s="183">
        <f t="shared" si="45"/>
        <v>38762029.091742761</v>
      </c>
      <c r="AA100" s="188">
        <f t="shared" ca="1" si="46"/>
        <v>38762029.091742761</v>
      </c>
      <c r="AB100" s="160"/>
      <c r="AC100" s="190">
        <f>Input!$C$25/12</f>
        <v>26538.461538461535</v>
      </c>
      <c r="AD100" s="183">
        <f t="shared" si="47"/>
        <v>172936.85017663817</v>
      </c>
      <c r="AE100" s="186">
        <f t="shared" si="48"/>
        <v>51881.055052991447</v>
      </c>
      <c r="AF100" s="183">
        <f ca="1">IF(AA100=0,0,AA100-(total_initial_cost-SUM($AC$5:AC100)))</f>
        <v>20609721.399435066</v>
      </c>
      <c r="AG100" s="183">
        <f t="shared" ca="1" si="49"/>
        <v>4121944.2798870131</v>
      </c>
      <c r="AH100" s="186">
        <f t="shared" ca="1" si="63"/>
        <v>34640084.811855748</v>
      </c>
      <c r="AI100" s="103"/>
      <c r="AJ100" s="191">
        <f t="shared" ca="1" si="50"/>
        <v>13940084.811855748</v>
      </c>
      <c r="AK100" s="191">
        <f t="shared" ca="1" si="66"/>
        <v>15637735.741871677</v>
      </c>
      <c r="AL100" s="298">
        <f t="shared" ca="1" si="67"/>
        <v>1.3962264055242568</v>
      </c>
      <c r="AM100" s="298">
        <f t="shared" si="68"/>
        <v>0.18757372919510992</v>
      </c>
      <c r="AN100" s="298">
        <f t="shared" si="69"/>
        <v>0.13275870669182677</v>
      </c>
      <c r="AO100" s="299">
        <f>IF(leveraged_property,SUM(Q89:Q100)/SUM(U89:U100),"N/A")</f>
        <v>4.2456240184128609</v>
      </c>
      <c r="AP100" s="103"/>
      <c r="AQ100" s="186">
        <f t="shared" si="64"/>
        <v>183419.62503896194</v>
      </c>
      <c r="AR100" s="186">
        <f t="shared" ca="1" si="51"/>
        <v>30695845.83215005</v>
      </c>
      <c r="AS100" s="289">
        <f ca="1">IF(down_payment&lt;=0,"N/A",IRR(($AQ$4:AQ99,AR100),))</f>
        <v>1.7337870761409441E-2</v>
      </c>
      <c r="AT100" s="291">
        <f t="shared" ca="1" si="52"/>
        <v>0.22908675544112023</v>
      </c>
      <c r="AU100" s="289">
        <f ca="1">IF(down_payment&lt;=0,"N/A",MIRR(($AQ$4:AQ99,AR100),finance_rate,reinvestment_rate))</f>
        <v>1.6745086163268974E-2</v>
      </c>
      <c r="AV100" s="291">
        <f t="shared" ca="1" si="53"/>
        <v>0.22052024098943446</v>
      </c>
      <c r="AW100" s="103"/>
      <c r="AX100" s="195" t="str">
        <f t="shared" si="54"/>
        <v/>
      </c>
      <c r="AY100" s="296" t="str">
        <f>IF(AND(B100=$BA$4,OR(down_payment&lt;=0,purchase_date="")),"N/A",IF(B100=$BA$4,XIRR(AX$4:AX100,A$4:A100),""))</f>
        <v/>
      </c>
      <c r="BA100" s="178"/>
    </row>
    <row r="101" spans="1:53">
      <c r="A101" s="137">
        <f t="shared" si="65"/>
        <v>43115</v>
      </c>
      <c r="B101" s="138">
        <f t="shared" si="55"/>
        <v>97</v>
      </c>
      <c r="C101" s="139">
        <f>C100+(C100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01" s="139">
        <f t="shared" ref="D101:D124" si="70">C101*vacancy_losses</f>
        <v>14991.097680000001</v>
      </c>
      <c r="E101" s="140">
        <f t="shared" si="56"/>
        <v>284830.85592</v>
      </c>
      <c r="F101" s="141"/>
      <c r="G101" s="157">
        <f>IF(Input!$I$7="",0,IF(B101=Input!$I$7,Input!$I$6,IF(B101=Input!$I$7+12,Input!$I$6*(1+annual_incr_proptax),IF(B101=Input!$I$7+24,Input!$I$6*(1+annual_incr_proptax)^2,IF(B101=Input!$I$7+36,Input!$I$6*(1+annual_incr_proptax)^3,IF(B101=Input!$I$7+48,Input!$I$6*(1+annual_incr_proptax)^4,IF(B101=Input!$I$7+60,Input!$I$6*(1+annual_incr_proptax)^5,IF(B101=Input!$I$7+72,Input!$I$6*(1+annual_incr_proptax)^6,IF(B101=Input!$I$7+84,Input!$I$6*(1+annual_incr_proptax)^7,IF(B101=Input!$I$7+96,Input!$I$6*(1+annual_incr_proptax)^8,IF(B101=Input!$I$7+108,Input!$I$6*(1+annual_incr_proptax)^9,IF(B101=Input!$I$7+120,Input!$I$6*(1+annual_incr_proptax)^10,0))))))))))))</f>
        <v>0</v>
      </c>
      <c r="H101" s="139">
        <f>IF(Input!$I$10="",0,IF(B101=Input!$I$10,Input!$I$9,IF(B101=Input!$I$10+12,Input!$I$9*(1+annual_incr_ins),IF(B101=Input!$I$10+24,Input!$I$9*(1+annual_incr_ins)^2,IF(B101=Input!$I$10+36,Input!$I$9*(1+annual_incr_ins)^3,IF(B101=Input!$I$10+48,Input!$I$9*(1+annual_incr_ins)^4,IF(B101=Input!$I$10+60,Input!$I$9*(1+annual_incr_ins)^5,IF(B101=Input!$I$10+72,Input!$I$9*(1+annual_incr_ins)^6,IF(B101=Input!$I$10+84,Input!$I$9*(1+annual_incr_ins)^7,IF(B101=Input!$I$10+96,Input!$I$9*(1+annual_incr_ins)^8,IF(B101=Input!$I$10+108,Input!$I$9*(1+annual_incr_ins)^9,IF(B101=Input!$I$10+120,Input!$I$9*(1+annual_incr_ins)^10,0))))))))))))</f>
        <v>0</v>
      </c>
      <c r="I101" s="139">
        <f>IF(OR(Input!$I$13="",B101&lt;Input!$I$13),0,IF(AND(B101&gt;=Input!$I$13,B101&lt;Input!$I$13+12),Input!$I$12,IF(B101=Input!$I$13+12,Input!$I$12*(1+annual_incr_util),IF(B101=Input!$I$13+24,Input!$I$12*(1+annual_incr_util)^2,IF(B101=Input!$I$13+36,Input!$I$12*(1+annual_incr_util)^3,IF(B101=Input!$I$13+48,Input!$I$12*(1+annual_incr_util)^4,IF(B101=Input!$I$13+60,Input!$I$12*(1+annual_incr_util)^5,IF(B101=Input!$I$13+72,Input!$I$12*(1+annual_incr_util)^6,IF(B101=Input!$I$13+84,Input!$I$12*(1+annual_incr_util)^7,IF(B101=Input!$I$13+96,Input!$I$12*(1+annual_incr_util)^8,IF(B101=Input!$I$13+108,Input!$I$12*(1+annual_incr_util)^9,IF(B101=Input!$I$13+120,Input!$I$12*(1+annual_incr_util)^10,I100))))))))))))</f>
        <v>562.91514855531739</v>
      </c>
      <c r="J101" s="139">
        <f>IF(Input!$I$16="",0,IF(B101=Input!$I$16,Input!$I$15,IF(B101=Input!$I$16+12,Input!$I$15*(1+annual_incr_advtg),IF(B101=Input!$I$16+24,Input!$I$15*(1+annual_incr_advtg)^2,IF(B101=Input!$I$16+36,Input!$I$15*(1+annual_incr_advtg)^3,IF(B101=Input!$I$16+48,Input!$I$15*(1+annual_incr_advtg)^4,IF(B101=Input!$I$16+60,Input!$I$15*(1+annual_incr_advtg)^5,IF(B101=Input!$I$16+72,Input!$I$15*(1+annual_incr_advtg)^6,IF(B101=Input!$I$16+84,Input!$I$15*(1+annual_incr_advtg)^7,IF(B101=Input!$I$16+96,Input!$I$15*(1+annual_incr_advtg)^8,IF(B101=Input!$I$16+108,Input!$I$15*(1+annual_incr_advtg)^9,IF(B101=Input!$I$16+120,Input!$I$15*(1+annual_incr_advtg)^10,0))))))))))))</f>
        <v>0</v>
      </c>
      <c r="K101" s="139">
        <f>IF(Input!$I$19="",0,IF(B101=Input!$I$19,Input!$I$18,IF(B101=Input!$I$19+12,Input!$I$18*(1+annual_incr_other1),IF(B101=Input!$I$19+24,Input!$I$18*(1+annual_incr_other1)^2,IF(B101=Input!$I$19+36,Input!$I$18*(1+annual_incr_other1)^3,IF(B101=Input!$I$19+48,Input!$I$18*(1+annual_incr_other1)^4,IF(B101=Input!$I$19+60,Input!$I$18*(1+annual_incr_other1)^5,IF(B101=Input!$I$19+72,Input!$I$18*(1+annual_incr_other1)^6,IF(B101=Input!$I$19+84,Input!$I$18*(1+annual_incr_other1)^7,IF(B101=Input!$I$19+96,Input!$I$18*(1+annual_incr_other1)^8,IF(B101=Input!$I$19+108,Input!$I$18*(1+annual_incr_other1)^9,IF(B101=Input!$I$19+120,Input!$I$18*(1+annual_incr_other1)^10,0))))))))))))</f>
        <v>0</v>
      </c>
      <c r="L101" s="156">
        <f>IF(OR(Input!$I$22="",B101&lt;Input!$I$22),0,IF(AND(B101&gt;=Input!$I$22,B101&lt;Input!$I$22+12),Input!$I$21,IF(B101=Input!$I$22+12,Input!$I$21*(1+annual_incr_other2),IF(B101=Input!$I$22+24,Input!$I$21*(1+annual_incr_other2)^2,IF(B101=Input!$I$22+36,Input!$I$21*(1+annual_incr_other2)^3,IF(B101=Input!$I$22+48,Input!$I$21*(1+annual_incr_other2)^4,IF(B101=Input!$I$22+60,Input!$I$21*(1+annual_incr_other2)^5,IF(B101=Input!$I$22+72,Input!$I$21*(1+annual_incr_other2)^6,IF(B101=Input!$I$22+84,Input!$I$21*(1+annual_incr_other2)^7,IF(B101=Input!$I$22+96,Input!$I$21*(1+annual_incr_other2)^8,IF(B101=Input!$I$22+108,Input!$I$21*(1+annual_incr_other2)^9,IF(B101=Input!$I$22+120,Input!$I$21*(1+annual_incr_other2)^10,L100))))))))))))</f>
        <v>670.12159363045475</v>
      </c>
      <c r="M101" s="139">
        <f>IF(OR(Input!$I$27="",B101&lt;Input!$I$27),0,E101*mgmt_fee)</f>
        <v>2563.4777032799998</v>
      </c>
      <c r="N101" s="139">
        <f>IF(OR(Input!$I$29="",B101&lt;Input!$I$29),0,E101*repairs_maint)</f>
        <v>3133.1394151199997</v>
      </c>
      <c r="O101" s="149">
        <f>IF(Input!$I$31="",0,IF(OR(B101=Input!$I$31,B101=Input!$I$31+12,B101=Input!$I$31+24,B101=Input!$I$31+36,B101=Input!$I$31+48,B101=Input!$I$31+60,B101=Input!$I$31+72,B101=Input!$I$31+84,B101=Input!$I$31+96,B101=Input!$I$31+108,B101=Input!$I$31+120),E101*other_3,0))</f>
        <v>0</v>
      </c>
      <c r="P101" s="158">
        <f t="shared" si="57"/>
        <v>6929.6538605857713</v>
      </c>
      <c r="Q101" s="159">
        <f t="shared" si="58"/>
        <v>277901.20205941424</v>
      </c>
      <c r="R101" s="160"/>
      <c r="S101" s="161">
        <f>IF(AND(leveraged_property,B101&lt;=amort_period),-IPMT(interest_rate/12,B101,amort_period,loan_amount),0)</f>
        <v>37810.679887895152</v>
      </c>
      <c r="T101" s="149">
        <f t="shared" si="59"/>
        <v>16129.275240070077</v>
      </c>
      <c r="U101" s="149">
        <f>IF(AND(leveraged_property,B101&lt;=amort_period),-PMT(interest_rate/12,amort_period,loan_amount),0)</f>
        <v>53939.95512796523</v>
      </c>
      <c r="V101" s="149">
        <f t="shared" si="60"/>
        <v>8233473.609391599</v>
      </c>
      <c r="W101" s="160"/>
      <c r="X101" s="149">
        <f t="shared" si="61"/>
        <v>127430.53202680664</v>
      </c>
      <c r="Y101" s="162">
        <f t="shared" si="62"/>
        <v>29482327.889722023</v>
      </c>
      <c r="Z101" s="156">
        <f t="shared" ref="Z101:Z124" si="71">(SUM(Q102:Q113)/cap_rate)*(1-cost_of_sale)</f>
        <v>38761608.51835674</v>
      </c>
      <c r="AA101" s="163">
        <f t="shared" ref="AA101:AA124" ca="1" si="72">OFFSET(X101,0,option_termvalue,1,1)</f>
        <v>38761608.51835674</v>
      </c>
      <c r="AB101" s="160"/>
      <c r="AC101" s="164">
        <f>Input!$C$25/12</f>
        <v>26538.461538461535</v>
      </c>
      <c r="AD101" s="139">
        <f t="shared" ref="AD101:AD124" si="73">SUM(Q101,-S101,-AC101)</f>
        <v>213552.06063305755</v>
      </c>
      <c r="AE101" s="149">
        <f t="shared" ref="AE101:AE124" si="74">AD101*income_tax</f>
        <v>64065.618189917266</v>
      </c>
      <c r="AF101" s="139">
        <f ca="1">IF(AA101=0,0,AA101-(total_initial_cost-SUM($AC$5:AC101)))</f>
        <v>20635839.287587509</v>
      </c>
      <c r="AG101" s="139">
        <f t="shared" ref="AG101:AG124" ca="1" si="75">AF101*capital_gains_tax</f>
        <v>4127167.8575175018</v>
      </c>
      <c r="AH101" s="149">
        <f t="shared" ca="1" si="63"/>
        <v>34634440.660839237</v>
      </c>
      <c r="AI101" s="103"/>
      <c r="AJ101" s="165">
        <f t="shared" ref="AJ101:AJ124" ca="1" si="76">IF(AH101=0,0,AH101-total_initial_cost)</f>
        <v>13934440.660839237</v>
      </c>
      <c r="AK101" s="165">
        <f t="shared" ca="1" si="66"/>
        <v>15661061.189109549</v>
      </c>
      <c r="AL101" s="300">
        <f t="shared" ca="1" si="67"/>
        <v>1.398309034741924</v>
      </c>
      <c r="AM101" s="300">
        <f t="shared" si="68"/>
        <v>0.19119193482133484</v>
      </c>
      <c r="AN101" s="300">
        <f t="shared" si="69"/>
        <v>0.13471638316591947</v>
      </c>
      <c r="AO101" s="301">
        <f>IF(leveraged_property,SUM(Q90:Q101)/SUM(U90:U101),"N/A")</f>
        <v>4.308230520583626</v>
      </c>
      <c r="AP101" s="103"/>
      <c r="AQ101" s="149">
        <f t="shared" si="64"/>
        <v>223961.24693144902</v>
      </c>
      <c r="AR101" s="149">
        <f t="shared" ref="AR101:AR124" ca="1" si="77">SUM(AQ101,AA101,-V101)</f>
        <v>30752096.155896589</v>
      </c>
      <c r="AS101" s="288">
        <f ca="1">IF(down_payment&lt;=0,"N/A",IRR(($AQ$4:AQ100,AR101),))</f>
        <v>1.7267743446751853E-2</v>
      </c>
      <c r="AT101" s="290">
        <f t="shared" ref="AT101:AT124" ca="1" si="78">IF(down_payment&lt;=0,"N/A",((1+AS101)^12)-1)</f>
        <v>0.22807045728844177</v>
      </c>
      <c r="AU101" s="288">
        <f ca="1">IF(down_payment&lt;=0,"N/A",MIRR(($AQ$4:AQ100,AR101),finance_rate,reinvestment_rate))</f>
        <v>1.668618095044816E-2</v>
      </c>
      <c r="AV101" s="290">
        <f t="shared" ref="AV101:AV124" ca="1" si="79">IF(down_payment&lt;=0,"N/A",((1+AU101)^12)-1)</f>
        <v>0.21967197999133314</v>
      </c>
      <c r="AW101" s="103"/>
      <c r="AX101" s="194" t="str">
        <f t="shared" ref="AX101:AX124" si="80">IF(B101&lt;$BA$4,SUM(Q101,-U101,-AE101),IF(B101=$BA$4,SUM(Q101,-U101,-AE101,AH101,-V101),""))</f>
        <v/>
      </c>
      <c r="AY101" s="296" t="str">
        <f>IF(AND(B101=$BA$4,OR(down_payment&lt;=0,purchase_date="")),"N/A",IF(B101=$BA$4,XIRR(AX$4:AX101,A$4:A101),""))</f>
        <v/>
      </c>
      <c r="BA101" s="178"/>
    </row>
    <row r="102" spans="1:53">
      <c r="A102" s="137">
        <f t="shared" si="65"/>
        <v>43146</v>
      </c>
      <c r="B102" s="138">
        <f t="shared" si="55"/>
        <v>98</v>
      </c>
      <c r="C102" s="139">
        <f>C101+(C101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02" s="139">
        <f t="shared" si="70"/>
        <v>14991.097680000001</v>
      </c>
      <c r="E102" s="140">
        <f t="shared" si="56"/>
        <v>284830.85592</v>
      </c>
      <c r="F102" s="141"/>
      <c r="G102" s="157">
        <f>IF(Input!$I$7="",0,IF(B102=Input!$I$7,Input!$I$6,IF(B102=Input!$I$7+12,Input!$I$6*(1+annual_incr_proptax),IF(B102=Input!$I$7+24,Input!$I$6*(1+annual_incr_proptax)^2,IF(B102=Input!$I$7+36,Input!$I$6*(1+annual_incr_proptax)^3,IF(B102=Input!$I$7+48,Input!$I$6*(1+annual_incr_proptax)^4,IF(B102=Input!$I$7+60,Input!$I$6*(1+annual_incr_proptax)^5,IF(B102=Input!$I$7+72,Input!$I$6*(1+annual_incr_proptax)^6,IF(B102=Input!$I$7+84,Input!$I$6*(1+annual_incr_proptax)^7,IF(B102=Input!$I$7+96,Input!$I$6*(1+annual_incr_proptax)^8,IF(B102=Input!$I$7+108,Input!$I$6*(1+annual_incr_proptax)^9,IF(B102=Input!$I$7+120,Input!$I$6*(1+annual_incr_proptax)^10,0))))))))))))</f>
        <v>61890.024737279935</v>
      </c>
      <c r="H102" s="139">
        <f>IF(Input!$I$10="",0,IF(B102=Input!$I$10,Input!$I$9,IF(B102=Input!$I$10+12,Input!$I$9*(1+annual_incr_ins),IF(B102=Input!$I$10+24,Input!$I$9*(1+annual_incr_ins)^2,IF(B102=Input!$I$10+36,Input!$I$9*(1+annual_incr_ins)^3,IF(B102=Input!$I$10+48,Input!$I$9*(1+annual_incr_ins)^4,IF(B102=Input!$I$10+60,Input!$I$9*(1+annual_incr_ins)^5,IF(B102=Input!$I$10+72,Input!$I$9*(1+annual_incr_ins)^6,IF(B102=Input!$I$10+84,Input!$I$9*(1+annual_incr_ins)^7,IF(B102=Input!$I$10+96,Input!$I$9*(1+annual_incr_ins)^8,IF(B102=Input!$I$10+108,Input!$I$9*(1+annual_incr_ins)^9,IF(B102=Input!$I$10+120,Input!$I$9*(1+annual_incr_ins)^10,0))))))))))))</f>
        <v>0</v>
      </c>
      <c r="I102" s="139">
        <f>IF(OR(Input!$I$13="",B102&lt;Input!$I$13),0,IF(AND(B102&gt;=Input!$I$13,B102&lt;Input!$I$13+12),Input!$I$12,IF(B102=Input!$I$13+12,Input!$I$12*(1+annual_incr_util),IF(B102=Input!$I$13+24,Input!$I$12*(1+annual_incr_util)^2,IF(B102=Input!$I$13+36,Input!$I$12*(1+annual_incr_util)^3,IF(B102=Input!$I$13+48,Input!$I$12*(1+annual_incr_util)^4,IF(B102=Input!$I$13+60,Input!$I$12*(1+annual_incr_util)^5,IF(B102=Input!$I$13+72,Input!$I$12*(1+annual_incr_util)^6,IF(B102=Input!$I$13+84,Input!$I$12*(1+annual_incr_util)^7,IF(B102=Input!$I$13+96,Input!$I$12*(1+annual_incr_util)^8,IF(B102=Input!$I$13+108,Input!$I$12*(1+annual_incr_util)^9,IF(B102=Input!$I$13+120,Input!$I$12*(1+annual_incr_util)^10,I101))))))))))))</f>
        <v>562.91514855531739</v>
      </c>
      <c r="J102" s="139">
        <f>IF(Input!$I$16="",0,IF(B102=Input!$I$16,Input!$I$15,IF(B102=Input!$I$16+12,Input!$I$15*(1+annual_incr_advtg),IF(B102=Input!$I$16+24,Input!$I$15*(1+annual_incr_advtg)^2,IF(B102=Input!$I$16+36,Input!$I$15*(1+annual_incr_advtg)^3,IF(B102=Input!$I$16+48,Input!$I$15*(1+annual_incr_advtg)^4,IF(B102=Input!$I$16+60,Input!$I$15*(1+annual_incr_advtg)^5,IF(B102=Input!$I$16+72,Input!$I$15*(1+annual_incr_advtg)^6,IF(B102=Input!$I$16+84,Input!$I$15*(1+annual_incr_advtg)^7,IF(B102=Input!$I$16+96,Input!$I$15*(1+annual_incr_advtg)^8,IF(B102=Input!$I$16+108,Input!$I$15*(1+annual_incr_advtg)^9,IF(B102=Input!$I$16+120,Input!$I$15*(1+annual_incr_advtg)^10,0))))))))))))</f>
        <v>0</v>
      </c>
      <c r="K102" s="139">
        <f>IF(Input!$I$19="",0,IF(B102=Input!$I$19,Input!$I$18,IF(B102=Input!$I$19+12,Input!$I$18*(1+annual_incr_other1),IF(B102=Input!$I$19+24,Input!$I$18*(1+annual_incr_other1)^2,IF(B102=Input!$I$19+36,Input!$I$18*(1+annual_incr_other1)^3,IF(B102=Input!$I$19+48,Input!$I$18*(1+annual_incr_other1)^4,IF(B102=Input!$I$19+60,Input!$I$18*(1+annual_incr_other1)^5,IF(B102=Input!$I$19+72,Input!$I$18*(1+annual_incr_other1)^6,IF(B102=Input!$I$19+84,Input!$I$18*(1+annual_incr_other1)^7,IF(B102=Input!$I$19+96,Input!$I$18*(1+annual_incr_other1)^8,IF(B102=Input!$I$19+108,Input!$I$18*(1+annual_incr_other1)^9,IF(B102=Input!$I$19+120,Input!$I$18*(1+annual_incr_other1)^10,0))))))))))))</f>
        <v>0</v>
      </c>
      <c r="L102" s="156">
        <f>IF(OR(Input!$I$22="",B102&lt;Input!$I$22),0,IF(AND(B102&gt;=Input!$I$22,B102&lt;Input!$I$22+12),Input!$I$21,IF(B102=Input!$I$22+12,Input!$I$21*(1+annual_incr_other2),IF(B102=Input!$I$22+24,Input!$I$21*(1+annual_incr_other2)^2,IF(B102=Input!$I$22+36,Input!$I$21*(1+annual_incr_other2)^3,IF(B102=Input!$I$22+48,Input!$I$21*(1+annual_incr_other2)^4,IF(B102=Input!$I$22+60,Input!$I$21*(1+annual_incr_other2)^5,IF(B102=Input!$I$22+72,Input!$I$21*(1+annual_incr_other2)^6,IF(B102=Input!$I$22+84,Input!$I$21*(1+annual_incr_other2)^7,IF(B102=Input!$I$22+96,Input!$I$21*(1+annual_incr_other2)^8,IF(B102=Input!$I$22+108,Input!$I$21*(1+annual_incr_other2)^9,IF(B102=Input!$I$22+120,Input!$I$21*(1+annual_incr_other2)^10,L101))))))))))))</f>
        <v>670.12159363045475</v>
      </c>
      <c r="M102" s="139">
        <f>IF(OR(Input!$I$27="",B102&lt;Input!$I$27),0,E102*mgmt_fee)</f>
        <v>2563.4777032799998</v>
      </c>
      <c r="N102" s="139">
        <f>IF(OR(Input!$I$29="",B102&lt;Input!$I$29),0,E102*repairs_maint)</f>
        <v>3133.1394151199997</v>
      </c>
      <c r="O102" s="149">
        <f>IF(Input!$I$31="",0,IF(OR(B102=Input!$I$31,B102=Input!$I$31+12,B102=Input!$I$31+24,B102=Input!$I$31+36,B102=Input!$I$31+48,B102=Input!$I$31+60,B102=Input!$I$31+72,B102=Input!$I$31+84,B102=Input!$I$31+96,B102=Input!$I$31+108,B102=Input!$I$31+120),E102*other_3,0))</f>
        <v>3645.8349557760002</v>
      </c>
      <c r="P102" s="158">
        <f t="shared" si="57"/>
        <v>72465.513553641693</v>
      </c>
      <c r="Q102" s="159">
        <f t="shared" si="58"/>
        <v>212365.34236635832</v>
      </c>
      <c r="R102" s="160"/>
      <c r="S102" s="161">
        <f>IF(AND(leveraged_property,B102&lt;=amort_period),-IPMT(interest_rate/12,B102,amort_period,loan_amount),0)</f>
        <v>37736.754043044835</v>
      </c>
      <c r="T102" s="149">
        <f t="shared" si="59"/>
        <v>16203.201084920394</v>
      </c>
      <c r="U102" s="149">
        <f>IF(AND(leveraged_property,B102&lt;=amort_period),-PMT(interest_rate/12,amort_period,loan_amount),0)</f>
        <v>53939.95512796523</v>
      </c>
      <c r="V102" s="149">
        <f t="shared" ref="V102:V124" si="81">V101-T102</f>
        <v>8217270.4083066788</v>
      </c>
      <c r="W102" s="160"/>
      <c r="X102" s="149">
        <f t="shared" ref="X102:X124" si="82">IF(MOD(month_no-1,12)=0,X101+X101*appreciation_rate,X101)</f>
        <v>127430.53202680664</v>
      </c>
      <c r="Y102" s="162">
        <f t="shared" ref="Y102:Y124" si="83">Y101+X102*(1-cost_of_sale)</f>
        <v>29604661.200467758</v>
      </c>
      <c r="Z102" s="156">
        <f t="shared" si="71"/>
        <v>38735194.134581059</v>
      </c>
      <c r="AA102" s="163">
        <f t="shared" ca="1" si="72"/>
        <v>38735194.134581059</v>
      </c>
      <c r="AB102" s="160"/>
      <c r="AC102" s="164">
        <f>Input!$C$25/12</f>
        <v>26538.461538461535</v>
      </c>
      <c r="AD102" s="139">
        <f t="shared" si="73"/>
        <v>148090.12678485195</v>
      </c>
      <c r="AE102" s="149">
        <f t="shared" si="74"/>
        <v>44427.038035455582</v>
      </c>
      <c r="AF102" s="139">
        <f ca="1">IF(AA102=0,0,AA102-(total_initial_cost-SUM($AC$5:AC102)))</f>
        <v>20635963.365350287</v>
      </c>
      <c r="AG102" s="139">
        <f t="shared" ca="1" si="75"/>
        <v>4127192.6730700578</v>
      </c>
      <c r="AH102" s="149">
        <f t="shared" ca="1" si="63"/>
        <v>34608001.461511001</v>
      </c>
      <c r="AI102" s="103"/>
      <c r="AJ102" s="165">
        <f t="shared" ca="1" si="76"/>
        <v>13908001.461511001</v>
      </c>
      <c r="AK102" s="165">
        <f t="shared" ca="1" si="66"/>
        <v>15661758.505909031</v>
      </c>
      <c r="AL102" s="300">
        <f t="shared" ca="1" si="67"/>
        <v>1.3983712951704492</v>
      </c>
      <c r="AM102" s="300">
        <f t="shared" si="68"/>
        <v>0.19457597651093234</v>
      </c>
      <c r="AN102" s="300">
        <f t="shared" si="69"/>
        <v>0.13654736224434902</v>
      </c>
      <c r="AO102" s="301">
        <f>IF(leveraged_property,SUM(Q91:Q102)/SUM(U91:U102),"N/A")</f>
        <v>4.3667852394890838</v>
      </c>
      <c r="AP102" s="103"/>
      <c r="AQ102" s="149">
        <f t="shared" si="64"/>
        <v>158425.3872383931</v>
      </c>
      <c r="AR102" s="149">
        <f t="shared" ca="1" si="77"/>
        <v>30676349.113512769</v>
      </c>
      <c r="AS102" s="288">
        <f ca="1">IF(down_payment&lt;=0,"N/A",IRR(($AQ$4:AQ101,AR102),))</f>
        <v>1.7177355111626214E-2</v>
      </c>
      <c r="AT102" s="290">
        <f t="shared" ca="1" si="78"/>
        <v>0.22676166895190697</v>
      </c>
      <c r="AU102" s="288">
        <f ca="1">IF(down_payment&lt;=0,"N/A",MIRR(($AQ$4:AQ101,AR102),finance_rate,reinvestment_rate))</f>
        <v>1.6612040337432799E-2</v>
      </c>
      <c r="AV102" s="290">
        <f t="shared" ca="1" si="79"/>
        <v>0.21860509067797218</v>
      </c>
      <c r="AW102" s="103"/>
      <c r="AX102" s="194" t="str">
        <f t="shared" si="80"/>
        <v/>
      </c>
      <c r="AY102" s="296" t="str">
        <f>IF(AND(B102=$BA$4,OR(down_payment&lt;=0,purchase_date="")),"N/A",IF(B102=$BA$4,XIRR(AX$4:AX102,A$4:A102),""))</f>
        <v/>
      </c>
      <c r="BA102" s="178"/>
    </row>
    <row r="103" spans="1:53">
      <c r="A103" s="137">
        <f t="shared" si="65"/>
        <v>43174</v>
      </c>
      <c r="B103" s="138">
        <f t="shared" si="55"/>
        <v>99</v>
      </c>
      <c r="C103" s="139">
        <f>C102+(C102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03" s="139">
        <f t="shared" si="70"/>
        <v>14991.097680000001</v>
      </c>
      <c r="E103" s="140">
        <f t="shared" si="56"/>
        <v>284830.85592</v>
      </c>
      <c r="F103" s="141"/>
      <c r="G103" s="157">
        <f>IF(Input!$I$7="",0,IF(B103=Input!$I$7,Input!$I$6,IF(B103=Input!$I$7+12,Input!$I$6*(1+annual_incr_proptax),IF(B103=Input!$I$7+24,Input!$I$6*(1+annual_incr_proptax)^2,IF(B103=Input!$I$7+36,Input!$I$6*(1+annual_incr_proptax)^3,IF(B103=Input!$I$7+48,Input!$I$6*(1+annual_incr_proptax)^4,IF(B103=Input!$I$7+60,Input!$I$6*(1+annual_incr_proptax)^5,IF(B103=Input!$I$7+72,Input!$I$6*(1+annual_incr_proptax)^6,IF(B103=Input!$I$7+84,Input!$I$6*(1+annual_incr_proptax)^7,IF(B103=Input!$I$7+96,Input!$I$6*(1+annual_incr_proptax)^8,IF(B103=Input!$I$7+108,Input!$I$6*(1+annual_incr_proptax)^9,IF(B103=Input!$I$7+120,Input!$I$6*(1+annual_incr_proptax)^10,0))))))))))))</f>
        <v>0</v>
      </c>
      <c r="H103" s="139">
        <f>IF(Input!$I$10="",0,IF(B103=Input!$I$10,Input!$I$9,IF(B103=Input!$I$10+12,Input!$I$9*(1+annual_incr_ins),IF(B103=Input!$I$10+24,Input!$I$9*(1+annual_incr_ins)^2,IF(B103=Input!$I$10+36,Input!$I$9*(1+annual_incr_ins)^3,IF(B103=Input!$I$10+48,Input!$I$9*(1+annual_incr_ins)^4,IF(B103=Input!$I$10+60,Input!$I$9*(1+annual_incr_ins)^5,IF(B103=Input!$I$10+72,Input!$I$9*(1+annual_incr_ins)^6,IF(B103=Input!$I$10+84,Input!$I$9*(1+annual_incr_ins)^7,IF(B103=Input!$I$10+96,Input!$I$9*(1+annual_incr_ins)^8,IF(B103=Input!$I$10+108,Input!$I$9*(1+annual_incr_ins)^9,IF(B103=Input!$I$10+120,Input!$I$9*(1+annual_incr_ins)^10,0))))))))))))</f>
        <v>0</v>
      </c>
      <c r="I103" s="139">
        <f>IF(OR(Input!$I$13="",B103&lt;Input!$I$13),0,IF(AND(B103&gt;=Input!$I$13,B103&lt;Input!$I$13+12),Input!$I$12,IF(B103=Input!$I$13+12,Input!$I$12*(1+annual_incr_util),IF(B103=Input!$I$13+24,Input!$I$12*(1+annual_incr_util)^2,IF(B103=Input!$I$13+36,Input!$I$12*(1+annual_incr_util)^3,IF(B103=Input!$I$13+48,Input!$I$12*(1+annual_incr_util)^4,IF(B103=Input!$I$13+60,Input!$I$12*(1+annual_incr_util)^5,IF(B103=Input!$I$13+72,Input!$I$12*(1+annual_incr_util)^6,IF(B103=Input!$I$13+84,Input!$I$12*(1+annual_incr_util)^7,IF(B103=Input!$I$13+96,Input!$I$12*(1+annual_incr_util)^8,IF(B103=Input!$I$13+108,Input!$I$12*(1+annual_incr_util)^9,IF(B103=Input!$I$13+120,Input!$I$12*(1+annual_incr_util)^10,I102))))))))))))</f>
        <v>562.91514855531739</v>
      </c>
      <c r="J103" s="139">
        <f>IF(Input!$I$16="",0,IF(B103=Input!$I$16,Input!$I$15,IF(B103=Input!$I$16+12,Input!$I$15*(1+annual_incr_advtg),IF(B103=Input!$I$16+24,Input!$I$15*(1+annual_incr_advtg)^2,IF(B103=Input!$I$16+36,Input!$I$15*(1+annual_incr_advtg)^3,IF(B103=Input!$I$16+48,Input!$I$15*(1+annual_incr_advtg)^4,IF(B103=Input!$I$16+60,Input!$I$15*(1+annual_incr_advtg)^5,IF(B103=Input!$I$16+72,Input!$I$15*(1+annual_incr_advtg)^6,IF(B103=Input!$I$16+84,Input!$I$15*(1+annual_incr_advtg)^7,IF(B103=Input!$I$16+96,Input!$I$15*(1+annual_incr_advtg)^8,IF(B103=Input!$I$16+108,Input!$I$15*(1+annual_incr_advtg)^9,IF(B103=Input!$I$16+120,Input!$I$15*(1+annual_incr_advtg)^10,0))))))))))))</f>
        <v>0</v>
      </c>
      <c r="K103" s="139">
        <f>IF(Input!$I$19="",0,IF(B103=Input!$I$19,Input!$I$18,IF(B103=Input!$I$19+12,Input!$I$18*(1+annual_incr_other1),IF(B103=Input!$I$19+24,Input!$I$18*(1+annual_incr_other1)^2,IF(B103=Input!$I$19+36,Input!$I$18*(1+annual_incr_other1)^3,IF(B103=Input!$I$19+48,Input!$I$18*(1+annual_incr_other1)^4,IF(B103=Input!$I$19+60,Input!$I$18*(1+annual_incr_other1)^5,IF(B103=Input!$I$19+72,Input!$I$18*(1+annual_incr_other1)^6,IF(B103=Input!$I$19+84,Input!$I$18*(1+annual_incr_other1)^7,IF(B103=Input!$I$19+96,Input!$I$18*(1+annual_incr_other1)^8,IF(B103=Input!$I$19+108,Input!$I$18*(1+annual_incr_other1)^9,IF(B103=Input!$I$19+120,Input!$I$18*(1+annual_incr_other1)^10,0))))))))))))</f>
        <v>0</v>
      </c>
      <c r="L103" s="156">
        <f>IF(OR(Input!$I$22="",B103&lt;Input!$I$22),0,IF(AND(B103&gt;=Input!$I$22,B103&lt;Input!$I$22+12),Input!$I$21,IF(B103=Input!$I$22+12,Input!$I$21*(1+annual_incr_other2),IF(B103=Input!$I$22+24,Input!$I$21*(1+annual_incr_other2)^2,IF(B103=Input!$I$22+36,Input!$I$21*(1+annual_incr_other2)^3,IF(B103=Input!$I$22+48,Input!$I$21*(1+annual_incr_other2)^4,IF(B103=Input!$I$22+60,Input!$I$21*(1+annual_incr_other2)^5,IF(B103=Input!$I$22+72,Input!$I$21*(1+annual_incr_other2)^6,IF(B103=Input!$I$22+84,Input!$I$21*(1+annual_incr_other2)^7,IF(B103=Input!$I$22+96,Input!$I$21*(1+annual_incr_other2)^8,IF(B103=Input!$I$22+108,Input!$I$21*(1+annual_incr_other2)^9,IF(B103=Input!$I$22+120,Input!$I$21*(1+annual_incr_other2)^10,L102))))))))))))</f>
        <v>670.12159363045475</v>
      </c>
      <c r="M103" s="139">
        <f>IF(OR(Input!$I$27="",B103&lt;Input!$I$27),0,E103*mgmt_fee)</f>
        <v>2563.4777032799998</v>
      </c>
      <c r="N103" s="139">
        <f>IF(OR(Input!$I$29="",B103&lt;Input!$I$29),0,E103*repairs_maint)</f>
        <v>3133.1394151199997</v>
      </c>
      <c r="O103" s="149">
        <f>IF(Input!$I$31="",0,IF(OR(B103=Input!$I$31,B103=Input!$I$31+12,B103=Input!$I$31+24,B103=Input!$I$31+36,B103=Input!$I$31+48,B103=Input!$I$31+60,B103=Input!$I$31+72,B103=Input!$I$31+84,B103=Input!$I$31+96,B103=Input!$I$31+108,B103=Input!$I$31+120),E103*other_3,0))</f>
        <v>0</v>
      </c>
      <c r="P103" s="158">
        <f t="shared" si="57"/>
        <v>6929.6538605857713</v>
      </c>
      <c r="Q103" s="159">
        <f t="shared" si="58"/>
        <v>277901.20205941424</v>
      </c>
      <c r="R103" s="160"/>
      <c r="S103" s="161">
        <f>IF(AND(leveraged_property,B103&lt;=amort_period),-IPMT(interest_rate/12,B103,amort_period,loan_amount),0)</f>
        <v>37662.489371405616</v>
      </c>
      <c r="T103" s="149">
        <f t="shared" si="59"/>
        <v>16277.465756559614</v>
      </c>
      <c r="U103" s="149">
        <f>IF(AND(leveraged_property,B103&lt;=amort_period),-PMT(interest_rate/12,amort_period,loan_amount),0)</f>
        <v>53939.95512796523</v>
      </c>
      <c r="V103" s="149">
        <f t="shared" si="81"/>
        <v>8200992.942550119</v>
      </c>
      <c r="W103" s="160"/>
      <c r="X103" s="149">
        <f t="shared" si="82"/>
        <v>127430.53202680664</v>
      </c>
      <c r="Y103" s="162">
        <f t="shared" si="83"/>
        <v>29726994.511213493</v>
      </c>
      <c r="Z103" s="156">
        <f t="shared" si="71"/>
        <v>38734773.561195031</v>
      </c>
      <c r="AA103" s="163">
        <f t="shared" ca="1" si="72"/>
        <v>38734773.561195031</v>
      </c>
      <c r="AB103" s="160"/>
      <c r="AC103" s="164">
        <f>Input!$C$25/12</f>
        <v>26538.461538461535</v>
      </c>
      <c r="AD103" s="139">
        <f t="shared" si="73"/>
        <v>213700.25114954708</v>
      </c>
      <c r="AE103" s="149">
        <f t="shared" si="74"/>
        <v>64110.075344864119</v>
      </c>
      <c r="AF103" s="139">
        <f ca="1">IF(AA103=0,0,AA103-(total_initial_cost-SUM($AC$5:AC103)))</f>
        <v>20662081.253502719</v>
      </c>
      <c r="AG103" s="139">
        <f t="shared" ca="1" si="75"/>
        <v>4132416.2507005441</v>
      </c>
      <c r="AH103" s="149">
        <f t="shared" ca="1" si="63"/>
        <v>34602357.31049449</v>
      </c>
      <c r="AI103" s="103"/>
      <c r="AJ103" s="165">
        <f t="shared" ca="1" si="76"/>
        <v>13902357.31049449</v>
      </c>
      <c r="AK103" s="165">
        <f t="shared" ca="1" si="66"/>
        <v>15685089.49208427</v>
      </c>
      <c r="AL103" s="300">
        <f t="shared" ca="1" si="67"/>
        <v>1.4004544189360955</v>
      </c>
      <c r="AM103" s="300">
        <f t="shared" si="68"/>
        <v>0.19819418213715728</v>
      </c>
      <c r="AN103" s="300">
        <f t="shared" si="69"/>
        <v>0.13850503871844175</v>
      </c>
      <c r="AO103" s="301">
        <f>IF(leveraged_property,SUM(Q92:Q103)/SUM(U92:U103),"N/A")</f>
        <v>4.4293917416598489</v>
      </c>
      <c r="AP103" s="103"/>
      <c r="AQ103" s="149">
        <f t="shared" si="64"/>
        <v>223961.24693144902</v>
      </c>
      <c r="AR103" s="149">
        <f t="shared" ca="1" si="77"/>
        <v>30757741.86557636</v>
      </c>
      <c r="AS103" s="288">
        <f ca="1">IF(down_payment&lt;=0,"N/A",IRR(($AQ$4:AQ102,AR103),))</f>
        <v>1.711058204413865E-2</v>
      </c>
      <c r="AT103" s="290">
        <f t="shared" ca="1" si="78"/>
        <v>0.22579564189094303</v>
      </c>
      <c r="AU103" s="288">
        <f ca="1">IF(down_payment&lt;=0,"N/A",MIRR(($AQ$4:AQ102,AR103),finance_rate,reinvestment_rate))</f>
        <v>1.6556498415651655E-2</v>
      </c>
      <c r="AV103" s="290">
        <f t="shared" ca="1" si="79"/>
        <v>0.21780639857368644</v>
      </c>
      <c r="AW103" s="103"/>
      <c r="AX103" s="194" t="str">
        <f t="shared" si="80"/>
        <v/>
      </c>
      <c r="AY103" s="296" t="str">
        <f>IF(AND(B103=$BA$4,OR(down_payment&lt;=0,purchase_date="")),"N/A",IF(B103=$BA$4,XIRR(AX$4:AX103,A$4:A103),""))</f>
        <v/>
      </c>
      <c r="BA103" s="178"/>
    </row>
    <row r="104" spans="1:53">
      <c r="A104" s="137">
        <f t="shared" si="65"/>
        <v>43205</v>
      </c>
      <c r="B104" s="138">
        <f t="shared" si="55"/>
        <v>100</v>
      </c>
      <c r="C104" s="139">
        <f>C103+(C103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04" s="139">
        <f t="shared" si="70"/>
        <v>14991.097680000001</v>
      </c>
      <c r="E104" s="140">
        <f t="shared" si="56"/>
        <v>284830.85592</v>
      </c>
      <c r="F104" s="141"/>
      <c r="G104" s="157">
        <f>IF(Input!$I$7="",0,IF(B104=Input!$I$7,Input!$I$6,IF(B104=Input!$I$7+12,Input!$I$6*(1+annual_incr_proptax),IF(B104=Input!$I$7+24,Input!$I$6*(1+annual_incr_proptax)^2,IF(B104=Input!$I$7+36,Input!$I$6*(1+annual_incr_proptax)^3,IF(B104=Input!$I$7+48,Input!$I$6*(1+annual_incr_proptax)^4,IF(B104=Input!$I$7+60,Input!$I$6*(1+annual_incr_proptax)^5,IF(B104=Input!$I$7+72,Input!$I$6*(1+annual_incr_proptax)^6,IF(B104=Input!$I$7+84,Input!$I$6*(1+annual_incr_proptax)^7,IF(B104=Input!$I$7+96,Input!$I$6*(1+annual_incr_proptax)^8,IF(B104=Input!$I$7+108,Input!$I$6*(1+annual_incr_proptax)^9,IF(B104=Input!$I$7+120,Input!$I$6*(1+annual_incr_proptax)^10,0))))))))))))</f>
        <v>0</v>
      </c>
      <c r="H104" s="139">
        <f>IF(Input!$I$10="",0,IF(B104=Input!$I$10,Input!$I$9,IF(B104=Input!$I$10+12,Input!$I$9*(1+annual_incr_ins),IF(B104=Input!$I$10+24,Input!$I$9*(1+annual_incr_ins)^2,IF(B104=Input!$I$10+36,Input!$I$9*(1+annual_incr_ins)^3,IF(B104=Input!$I$10+48,Input!$I$9*(1+annual_incr_ins)^4,IF(B104=Input!$I$10+60,Input!$I$9*(1+annual_incr_ins)^5,IF(B104=Input!$I$10+72,Input!$I$9*(1+annual_incr_ins)^6,IF(B104=Input!$I$10+84,Input!$I$9*(1+annual_incr_ins)^7,IF(B104=Input!$I$10+96,Input!$I$9*(1+annual_incr_ins)^8,IF(B104=Input!$I$10+108,Input!$I$9*(1+annual_incr_ins)^9,IF(B104=Input!$I$10+120,Input!$I$9*(1+annual_incr_ins)^10,0))))))))))))</f>
        <v>0</v>
      </c>
      <c r="I104" s="139">
        <f>IF(OR(Input!$I$13="",B104&lt;Input!$I$13),0,IF(AND(B104&gt;=Input!$I$13,B104&lt;Input!$I$13+12),Input!$I$12,IF(B104=Input!$I$13+12,Input!$I$12*(1+annual_incr_util),IF(B104=Input!$I$13+24,Input!$I$12*(1+annual_incr_util)^2,IF(B104=Input!$I$13+36,Input!$I$12*(1+annual_incr_util)^3,IF(B104=Input!$I$13+48,Input!$I$12*(1+annual_incr_util)^4,IF(B104=Input!$I$13+60,Input!$I$12*(1+annual_incr_util)^5,IF(B104=Input!$I$13+72,Input!$I$12*(1+annual_incr_util)^6,IF(B104=Input!$I$13+84,Input!$I$12*(1+annual_incr_util)^7,IF(B104=Input!$I$13+96,Input!$I$12*(1+annual_incr_util)^8,IF(B104=Input!$I$13+108,Input!$I$12*(1+annual_incr_util)^9,IF(B104=Input!$I$13+120,Input!$I$12*(1+annual_incr_util)^10,I103))))))))))))</f>
        <v>581.20989088336523</v>
      </c>
      <c r="J104" s="139">
        <f>IF(Input!$I$16="",0,IF(B104=Input!$I$16,Input!$I$15,IF(B104=Input!$I$16+12,Input!$I$15*(1+annual_incr_advtg),IF(B104=Input!$I$16+24,Input!$I$15*(1+annual_incr_advtg)^2,IF(B104=Input!$I$16+36,Input!$I$15*(1+annual_incr_advtg)^3,IF(B104=Input!$I$16+48,Input!$I$15*(1+annual_incr_advtg)^4,IF(B104=Input!$I$16+60,Input!$I$15*(1+annual_incr_advtg)^5,IF(B104=Input!$I$16+72,Input!$I$15*(1+annual_incr_advtg)^6,IF(B104=Input!$I$16+84,Input!$I$15*(1+annual_incr_advtg)^7,IF(B104=Input!$I$16+96,Input!$I$15*(1+annual_incr_advtg)^8,IF(B104=Input!$I$16+108,Input!$I$15*(1+annual_incr_advtg)^9,IF(B104=Input!$I$16+120,Input!$I$15*(1+annual_incr_advtg)^10,0))))))))))))</f>
        <v>0</v>
      </c>
      <c r="K104" s="139">
        <f>IF(Input!$I$19="",0,IF(B104=Input!$I$19,Input!$I$18,IF(B104=Input!$I$19+12,Input!$I$18*(1+annual_incr_other1),IF(B104=Input!$I$19+24,Input!$I$18*(1+annual_incr_other1)^2,IF(B104=Input!$I$19+36,Input!$I$18*(1+annual_incr_other1)^3,IF(B104=Input!$I$19+48,Input!$I$18*(1+annual_incr_other1)^4,IF(B104=Input!$I$19+60,Input!$I$18*(1+annual_incr_other1)^5,IF(B104=Input!$I$19+72,Input!$I$18*(1+annual_incr_other1)^6,IF(B104=Input!$I$19+84,Input!$I$18*(1+annual_incr_other1)^7,IF(B104=Input!$I$19+96,Input!$I$18*(1+annual_incr_other1)^8,IF(B104=Input!$I$19+108,Input!$I$18*(1+annual_incr_other1)^9,IF(B104=Input!$I$19+120,Input!$I$18*(1+annual_incr_other1)^10,0))))))))))))</f>
        <v>0</v>
      </c>
      <c r="L104" s="156">
        <f>IF(OR(Input!$I$22="",B104&lt;Input!$I$22),0,IF(AND(B104&gt;=Input!$I$22,B104&lt;Input!$I$22+12),Input!$I$21,IF(B104=Input!$I$22+12,Input!$I$21*(1+annual_incr_other2),IF(B104=Input!$I$22+24,Input!$I$21*(1+annual_incr_other2)^2,IF(B104=Input!$I$22+36,Input!$I$21*(1+annual_incr_other2)^3,IF(B104=Input!$I$22+48,Input!$I$21*(1+annual_incr_other2)^4,IF(B104=Input!$I$22+60,Input!$I$21*(1+annual_incr_other2)^5,IF(B104=Input!$I$22+72,Input!$I$21*(1+annual_incr_other2)^6,IF(B104=Input!$I$22+84,Input!$I$21*(1+annual_incr_other2)^7,IF(B104=Input!$I$22+96,Input!$I$21*(1+annual_incr_other2)^8,IF(B104=Input!$I$22+108,Input!$I$21*(1+annual_incr_other2)^9,IF(B104=Input!$I$22+120,Input!$I$21*(1+annual_incr_other2)^10,L103))))))))))))</f>
        <v>670.12159363045475</v>
      </c>
      <c r="M104" s="139">
        <f>IF(OR(Input!$I$27="",B104&lt;Input!$I$27),0,E104*mgmt_fee)</f>
        <v>2563.4777032799998</v>
      </c>
      <c r="N104" s="139">
        <f>IF(OR(Input!$I$29="",B104&lt;Input!$I$29),0,E104*repairs_maint)</f>
        <v>3133.1394151199997</v>
      </c>
      <c r="O104" s="149">
        <f>IF(Input!$I$31="",0,IF(OR(B104=Input!$I$31,B104=Input!$I$31+12,B104=Input!$I$31+24,B104=Input!$I$31+36,B104=Input!$I$31+48,B104=Input!$I$31+60,B104=Input!$I$31+72,B104=Input!$I$31+84,B104=Input!$I$31+96,B104=Input!$I$31+108,B104=Input!$I$31+120),E104*other_3,0))</f>
        <v>0</v>
      </c>
      <c r="P104" s="158">
        <f t="shared" si="57"/>
        <v>6947.9486029138188</v>
      </c>
      <c r="Q104" s="159">
        <f t="shared" si="58"/>
        <v>277882.90731708618</v>
      </c>
      <c r="R104" s="160"/>
      <c r="S104" s="161">
        <f>IF(AND(leveraged_property,B104&lt;=amort_period),-IPMT(interest_rate/12,B104,amort_period,loan_amount),0)</f>
        <v>37587.884320021381</v>
      </c>
      <c r="T104" s="149">
        <f t="shared" si="59"/>
        <v>16352.070807943848</v>
      </c>
      <c r="U104" s="149">
        <f>IF(AND(leveraged_property,B104&lt;=amort_period),-PMT(interest_rate/12,amort_period,loan_amount),0)</f>
        <v>53939.95512796523</v>
      </c>
      <c r="V104" s="149">
        <f t="shared" si="81"/>
        <v>8184640.871742175</v>
      </c>
      <c r="W104" s="160"/>
      <c r="X104" s="149">
        <f t="shared" si="82"/>
        <v>127430.53202680664</v>
      </c>
      <c r="Y104" s="162">
        <f t="shared" si="83"/>
        <v>29849327.821959227</v>
      </c>
      <c r="Z104" s="156">
        <f t="shared" si="71"/>
        <v>38734345.85285949</v>
      </c>
      <c r="AA104" s="163">
        <f t="shared" ca="1" si="72"/>
        <v>38734345.85285949</v>
      </c>
      <c r="AB104" s="160"/>
      <c r="AC104" s="164">
        <f>Input!$C$25/12</f>
        <v>26538.461538461535</v>
      </c>
      <c r="AD104" s="139">
        <f t="shared" si="73"/>
        <v>213756.56145860328</v>
      </c>
      <c r="AE104" s="149">
        <f t="shared" si="74"/>
        <v>64126.968437580981</v>
      </c>
      <c r="AF104" s="139">
        <f ca="1">IF(AA104=0,0,AA104-(total_initial_cost-SUM($AC$5:AC104)))</f>
        <v>20688192.006705642</v>
      </c>
      <c r="AG104" s="139">
        <f t="shared" ca="1" si="75"/>
        <v>4137638.4013411286</v>
      </c>
      <c r="AH104" s="149">
        <f t="shared" ca="1" si="63"/>
        <v>34596707.451518364</v>
      </c>
      <c r="AI104" s="103"/>
      <c r="AJ104" s="165">
        <f t="shared" ca="1" si="76"/>
        <v>13896707.451518364</v>
      </c>
      <c r="AK104" s="165">
        <f t="shared" ca="1" si="66"/>
        <v>15708417.155718695</v>
      </c>
      <c r="AL104" s="300">
        <f t="shared" ca="1" si="67"/>
        <v>1.4025372460463121</v>
      </c>
      <c r="AM104" s="300">
        <f t="shared" si="68"/>
        <v>0.20181233634699289</v>
      </c>
      <c r="AN104" s="300">
        <f t="shared" si="69"/>
        <v>0.1404626873730388</v>
      </c>
      <c r="AO104" s="301">
        <f>IF(leveraged_property,SUM(Q93:Q104)/SUM(U93:U104),"N/A")</f>
        <v>4.491997354163022</v>
      </c>
      <c r="AP104" s="103"/>
      <c r="AQ104" s="149">
        <f t="shared" si="64"/>
        <v>223942.95218912096</v>
      </c>
      <c r="AR104" s="149">
        <f t="shared" ca="1" si="77"/>
        <v>30773647.933306433</v>
      </c>
      <c r="AS104" s="288">
        <f ca="1">IF(down_payment&lt;=0,"N/A",IRR(($AQ$4:AQ103,AR104),))</f>
        <v>1.7045346671577258E-2</v>
      </c>
      <c r="AT104" s="290">
        <f t="shared" ca="1" si="78"/>
        <v>0.22485253460963772</v>
      </c>
      <c r="AU104" s="288">
        <f ca="1">IF(down_payment&lt;=0,"N/A",MIRR(($AQ$4:AQ103,AR104),finance_rate,reinvestment_rate))</f>
        <v>1.6502465335496597E-2</v>
      </c>
      <c r="AV104" s="290">
        <f t="shared" ca="1" si="79"/>
        <v>0.21702986409518021</v>
      </c>
      <c r="AW104" s="103"/>
      <c r="AX104" s="194" t="str">
        <f t="shared" si="80"/>
        <v/>
      </c>
      <c r="AY104" s="296" t="str">
        <f>IF(AND(B104=$BA$4,OR(down_payment&lt;=0,purchase_date="")),"N/A",IF(B104=$BA$4,XIRR(AX$4:AX104,A$4:A104),""))</f>
        <v/>
      </c>
      <c r="BA104" s="178"/>
    </row>
    <row r="105" spans="1:53">
      <c r="A105" s="137">
        <f t="shared" si="65"/>
        <v>43235</v>
      </c>
      <c r="B105" s="138">
        <f t="shared" si="55"/>
        <v>101</v>
      </c>
      <c r="C105" s="139">
        <f>C104+(C104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05" s="139">
        <f t="shared" si="70"/>
        <v>14991.097680000001</v>
      </c>
      <c r="E105" s="140">
        <f t="shared" si="56"/>
        <v>284830.85592</v>
      </c>
      <c r="F105" s="141"/>
      <c r="G105" s="157">
        <f>IF(Input!$I$7="",0,IF(B105=Input!$I$7,Input!$I$6,IF(B105=Input!$I$7+12,Input!$I$6*(1+annual_incr_proptax),IF(B105=Input!$I$7+24,Input!$I$6*(1+annual_incr_proptax)^2,IF(B105=Input!$I$7+36,Input!$I$6*(1+annual_incr_proptax)^3,IF(B105=Input!$I$7+48,Input!$I$6*(1+annual_incr_proptax)^4,IF(B105=Input!$I$7+60,Input!$I$6*(1+annual_incr_proptax)^5,IF(B105=Input!$I$7+72,Input!$I$6*(1+annual_incr_proptax)^6,IF(B105=Input!$I$7+84,Input!$I$6*(1+annual_incr_proptax)^7,IF(B105=Input!$I$7+96,Input!$I$6*(1+annual_incr_proptax)^8,IF(B105=Input!$I$7+108,Input!$I$6*(1+annual_incr_proptax)^9,IF(B105=Input!$I$7+120,Input!$I$6*(1+annual_incr_proptax)^10,0))))))))))))</f>
        <v>0</v>
      </c>
      <c r="H105" s="139">
        <f>IF(Input!$I$10="",0,IF(B105=Input!$I$10,Input!$I$9,IF(B105=Input!$I$10+12,Input!$I$9*(1+annual_incr_ins),IF(B105=Input!$I$10+24,Input!$I$9*(1+annual_incr_ins)^2,IF(B105=Input!$I$10+36,Input!$I$9*(1+annual_incr_ins)^3,IF(B105=Input!$I$10+48,Input!$I$9*(1+annual_incr_ins)^4,IF(B105=Input!$I$10+60,Input!$I$9*(1+annual_incr_ins)^5,IF(B105=Input!$I$10+72,Input!$I$9*(1+annual_incr_ins)^6,IF(B105=Input!$I$10+84,Input!$I$9*(1+annual_incr_ins)^7,IF(B105=Input!$I$10+96,Input!$I$9*(1+annual_incr_ins)^8,IF(B105=Input!$I$10+108,Input!$I$9*(1+annual_incr_ins)^9,IF(B105=Input!$I$10+120,Input!$I$9*(1+annual_incr_ins)^10,0))))))))))))</f>
        <v>0</v>
      </c>
      <c r="I105" s="139">
        <f>IF(OR(Input!$I$13="",B105&lt;Input!$I$13),0,IF(AND(B105&gt;=Input!$I$13,B105&lt;Input!$I$13+12),Input!$I$12,IF(B105=Input!$I$13+12,Input!$I$12*(1+annual_incr_util),IF(B105=Input!$I$13+24,Input!$I$12*(1+annual_incr_util)^2,IF(B105=Input!$I$13+36,Input!$I$12*(1+annual_incr_util)^3,IF(B105=Input!$I$13+48,Input!$I$12*(1+annual_incr_util)^4,IF(B105=Input!$I$13+60,Input!$I$12*(1+annual_incr_util)^5,IF(B105=Input!$I$13+72,Input!$I$12*(1+annual_incr_util)^6,IF(B105=Input!$I$13+84,Input!$I$12*(1+annual_incr_util)^7,IF(B105=Input!$I$13+96,Input!$I$12*(1+annual_incr_util)^8,IF(B105=Input!$I$13+108,Input!$I$12*(1+annual_incr_util)^9,IF(B105=Input!$I$13+120,Input!$I$12*(1+annual_incr_util)^10,I104))))))))))))</f>
        <v>581.20989088336523</v>
      </c>
      <c r="J105" s="139">
        <f>IF(Input!$I$16="",0,IF(B105=Input!$I$16,Input!$I$15,IF(B105=Input!$I$16+12,Input!$I$15*(1+annual_incr_advtg),IF(B105=Input!$I$16+24,Input!$I$15*(1+annual_incr_advtg)^2,IF(B105=Input!$I$16+36,Input!$I$15*(1+annual_incr_advtg)^3,IF(B105=Input!$I$16+48,Input!$I$15*(1+annual_incr_advtg)^4,IF(B105=Input!$I$16+60,Input!$I$15*(1+annual_incr_advtg)^5,IF(B105=Input!$I$16+72,Input!$I$15*(1+annual_incr_advtg)^6,IF(B105=Input!$I$16+84,Input!$I$15*(1+annual_incr_advtg)^7,IF(B105=Input!$I$16+96,Input!$I$15*(1+annual_incr_advtg)^8,IF(B105=Input!$I$16+108,Input!$I$15*(1+annual_incr_advtg)^9,IF(B105=Input!$I$16+120,Input!$I$15*(1+annual_incr_advtg)^10,0))))))))))))</f>
        <v>0</v>
      </c>
      <c r="K105" s="139">
        <f>IF(Input!$I$19="",0,IF(B105=Input!$I$19,Input!$I$18,IF(B105=Input!$I$19+12,Input!$I$18*(1+annual_incr_other1),IF(B105=Input!$I$19+24,Input!$I$18*(1+annual_incr_other1)^2,IF(B105=Input!$I$19+36,Input!$I$18*(1+annual_incr_other1)^3,IF(B105=Input!$I$19+48,Input!$I$18*(1+annual_incr_other1)^4,IF(B105=Input!$I$19+60,Input!$I$18*(1+annual_incr_other1)^5,IF(B105=Input!$I$19+72,Input!$I$18*(1+annual_incr_other1)^6,IF(B105=Input!$I$19+84,Input!$I$18*(1+annual_incr_other1)^7,IF(B105=Input!$I$19+96,Input!$I$18*(1+annual_incr_other1)^8,IF(B105=Input!$I$19+108,Input!$I$18*(1+annual_incr_other1)^9,IF(B105=Input!$I$19+120,Input!$I$18*(1+annual_incr_other1)^10,0))))))))))))</f>
        <v>6158.5607268237336</v>
      </c>
      <c r="L105" s="156">
        <f>IF(OR(Input!$I$22="",B105&lt;Input!$I$22),0,IF(AND(B105&gt;=Input!$I$22,B105&lt;Input!$I$22+12),Input!$I$21,IF(B105=Input!$I$22+12,Input!$I$21*(1+annual_incr_other2),IF(B105=Input!$I$22+24,Input!$I$21*(1+annual_incr_other2)^2,IF(B105=Input!$I$22+36,Input!$I$21*(1+annual_incr_other2)^3,IF(B105=Input!$I$22+48,Input!$I$21*(1+annual_incr_other2)^4,IF(B105=Input!$I$22+60,Input!$I$21*(1+annual_incr_other2)^5,IF(B105=Input!$I$22+72,Input!$I$21*(1+annual_incr_other2)^6,IF(B105=Input!$I$22+84,Input!$I$21*(1+annual_incr_other2)^7,IF(B105=Input!$I$22+96,Input!$I$21*(1+annual_incr_other2)^8,IF(B105=Input!$I$22+108,Input!$I$21*(1+annual_incr_other2)^9,IF(B105=Input!$I$22+120,Input!$I$21*(1+annual_incr_other2)^10,L104))))))))))))</f>
        <v>670.12159363045475</v>
      </c>
      <c r="M105" s="139">
        <f>IF(OR(Input!$I$27="",B105&lt;Input!$I$27),0,E105*mgmt_fee)</f>
        <v>2563.4777032799998</v>
      </c>
      <c r="N105" s="139">
        <f>IF(OR(Input!$I$29="",B105&lt;Input!$I$29),0,E105*repairs_maint)</f>
        <v>3133.1394151199997</v>
      </c>
      <c r="O105" s="149">
        <f>IF(Input!$I$31="",0,IF(OR(B105=Input!$I$31,B105=Input!$I$31+12,B105=Input!$I$31+24,B105=Input!$I$31+36,B105=Input!$I$31+48,B105=Input!$I$31+60,B105=Input!$I$31+72,B105=Input!$I$31+84,B105=Input!$I$31+96,B105=Input!$I$31+108,B105=Input!$I$31+120),E105*other_3,0))</f>
        <v>0</v>
      </c>
      <c r="P105" s="158">
        <f t="shared" si="57"/>
        <v>13106.509329737553</v>
      </c>
      <c r="Q105" s="159">
        <f t="shared" si="58"/>
        <v>271724.34659026243</v>
      </c>
      <c r="R105" s="160"/>
      <c r="S105" s="161">
        <f>IF(AND(leveraged_property,B105&lt;=amort_period),-IPMT(interest_rate/12,B105,amort_period,loan_amount),0)</f>
        <v>37512.937328818305</v>
      </c>
      <c r="T105" s="149">
        <f t="shared" si="59"/>
        <v>16427.017799146925</v>
      </c>
      <c r="U105" s="149">
        <f>IF(AND(leveraged_property,B105&lt;=amort_period),-PMT(interest_rate/12,amort_period,loan_amount),0)</f>
        <v>53939.95512796523</v>
      </c>
      <c r="V105" s="149">
        <f t="shared" si="81"/>
        <v>8168213.8539430285</v>
      </c>
      <c r="W105" s="160"/>
      <c r="X105" s="149">
        <f t="shared" si="82"/>
        <v>127430.53202680664</v>
      </c>
      <c r="Y105" s="162">
        <f t="shared" si="83"/>
        <v>29971661.132704962</v>
      </c>
      <c r="Z105" s="156">
        <f t="shared" si="71"/>
        <v>38730962.035375081</v>
      </c>
      <c r="AA105" s="163">
        <f t="shared" ca="1" si="72"/>
        <v>38730962.035375081</v>
      </c>
      <c r="AB105" s="160"/>
      <c r="AC105" s="164">
        <f>Input!$C$25/12</f>
        <v>26538.461538461535</v>
      </c>
      <c r="AD105" s="139">
        <f t="shared" si="73"/>
        <v>207672.94772298259</v>
      </c>
      <c r="AE105" s="149">
        <f t="shared" si="74"/>
        <v>62301.884316894771</v>
      </c>
      <c r="AF105" s="139">
        <f ca="1">IF(AA105=0,0,AA105-(total_initial_cost-SUM($AC$5:AC105)))</f>
        <v>20711346.650759693</v>
      </c>
      <c r="AG105" s="139">
        <f t="shared" ca="1" si="75"/>
        <v>4142269.3301519388</v>
      </c>
      <c r="AH105" s="149">
        <f t="shared" ca="1" si="63"/>
        <v>34588692.705223143</v>
      </c>
      <c r="AI105" s="103"/>
      <c r="AJ105" s="165">
        <f t="shared" ca="1" si="76"/>
        <v>13888692.705223143</v>
      </c>
      <c r="AK105" s="165">
        <f t="shared" ca="1" si="66"/>
        <v>15729216.925933868</v>
      </c>
      <c r="AL105" s="300">
        <f t="shared" ca="1" si="67"/>
        <v>1.4043943683869524</v>
      </c>
      <c r="AM105" s="300">
        <f t="shared" si="68"/>
        <v>0.20540934165323366</v>
      </c>
      <c r="AN105" s="300">
        <f t="shared" si="69"/>
        <v>0.14240889314259902</v>
      </c>
      <c r="AO105" s="301">
        <f>IF(leveraged_property,SUM(Q94:Q105)/SUM(U94:U105),"N/A")</f>
        <v>4.5542370231528615</v>
      </c>
      <c r="AP105" s="103"/>
      <c r="AQ105" s="149">
        <f t="shared" si="64"/>
        <v>217784.39146229721</v>
      </c>
      <c r="AR105" s="149">
        <f t="shared" ca="1" si="77"/>
        <v>30780532.57289435</v>
      </c>
      <c r="AS105" s="288">
        <f ca="1">IF(down_payment&lt;=0,"N/A",IRR(($AQ$4:AQ104,AR105),))</f>
        <v>1.6979528966961515E-2</v>
      </c>
      <c r="AT105" s="290">
        <f t="shared" ca="1" si="78"/>
        <v>0.22390168267678567</v>
      </c>
      <c r="AU105" s="288">
        <f ca="1">IF(down_payment&lt;=0,"N/A",MIRR(($AQ$4:AQ104,AR105),finance_rate,reinvestment_rate))</f>
        <v>1.644832162929033E-2</v>
      </c>
      <c r="AV105" s="290">
        <f t="shared" ca="1" si="79"/>
        <v>0.21625219507150062</v>
      </c>
      <c r="AW105" s="103"/>
      <c r="AX105" s="194" t="str">
        <f t="shared" si="80"/>
        <v/>
      </c>
      <c r="AY105" s="296" t="str">
        <f>IF(AND(B105=$BA$4,OR(down_payment&lt;=0,purchase_date="")),"N/A",IF(B105=$BA$4,XIRR(AX$4:AX105,A$4:A105),""))</f>
        <v/>
      </c>
      <c r="BA105" s="178"/>
    </row>
    <row r="106" spans="1:53">
      <c r="A106" s="137">
        <f t="shared" si="65"/>
        <v>43266</v>
      </c>
      <c r="B106" s="138">
        <f t="shared" si="55"/>
        <v>102</v>
      </c>
      <c r="C106" s="139">
        <f>C105+(C105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06" s="139">
        <f t="shared" si="70"/>
        <v>14991.097680000001</v>
      </c>
      <c r="E106" s="140">
        <f t="shared" si="56"/>
        <v>284830.85592</v>
      </c>
      <c r="F106" s="141"/>
      <c r="G106" s="157">
        <f>IF(Input!$I$7="",0,IF(B106=Input!$I$7,Input!$I$6,IF(B106=Input!$I$7+12,Input!$I$6*(1+annual_incr_proptax),IF(B106=Input!$I$7+24,Input!$I$6*(1+annual_incr_proptax)^2,IF(B106=Input!$I$7+36,Input!$I$6*(1+annual_incr_proptax)^3,IF(B106=Input!$I$7+48,Input!$I$6*(1+annual_incr_proptax)^4,IF(B106=Input!$I$7+60,Input!$I$6*(1+annual_incr_proptax)^5,IF(B106=Input!$I$7+72,Input!$I$6*(1+annual_incr_proptax)^6,IF(B106=Input!$I$7+84,Input!$I$6*(1+annual_incr_proptax)^7,IF(B106=Input!$I$7+96,Input!$I$6*(1+annual_incr_proptax)^8,IF(B106=Input!$I$7+108,Input!$I$6*(1+annual_incr_proptax)^9,IF(B106=Input!$I$7+120,Input!$I$6*(1+annual_incr_proptax)^10,0))))))))))))</f>
        <v>0</v>
      </c>
      <c r="H106" s="139">
        <f>IF(Input!$I$10="",0,IF(B106=Input!$I$10,Input!$I$9,IF(B106=Input!$I$10+12,Input!$I$9*(1+annual_incr_ins),IF(B106=Input!$I$10+24,Input!$I$9*(1+annual_incr_ins)^2,IF(B106=Input!$I$10+36,Input!$I$9*(1+annual_incr_ins)^3,IF(B106=Input!$I$10+48,Input!$I$9*(1+annual_incr_ins)^4,IF(B106=Input!$I$10+60,Input!$I$9*(1+annual_incr_ins)^5,IF(B106=Input!$I$10+72,Input!$I$9*(1+annual_incr_ins)^6,IF(B106=Input!$I$10+84,Input!$I$9*(1+annual_incr_ins)^7,IF(B106=Input!$I$10+96,Input!$I$9*(1+annual_incr_ins)^8,IF(B106=Input!$I$10+108,Input!$I$9*(1+annual_incr_ins)^9,IF(B106=Input!$I$10+120,Input!$I$9*(1+annual_incr_ins)^10,0))))))))))))</f>
        <v>14908.566623253495</v>
      </c>
      <c r="I106" s="139">
        <f>IF(OR(Input!$I$13="",B106&lt;Input!$I$13),0,IF(AND(B106&gt;=Input!$I$13,B106&lt;Input!$I$13+12),Input!$I$12,IF(B106=Input!$I$13+12,Input!$I$12*(1+annual_incr_util),IF(B106=Input!$I$13+24,Input!$I$12*(1+annual_incr_util)^2,IF(B106=Input!$I$13+36,Input!$I$12*(1+annual_incr_util)^3,IF(B106=Input!$I$13+48,Input!$I$12*(1+annual_incr_util)^4,IF(B106=Input!$I$13+60,Input!$I$12*(1+annual_incr_util)^5,IF(B106=Input!$I$13+72,Input!$I$12*(1+annual_incr_util)^6,IF(B106=Input!$I$13+84,Input!$I$12*(1+annual_incr_util)^7,IF(B106=Input!$I$13+96,Input!$I$12*(1+annual_incr_util)^8,IF(B106=Input!$I$13+108,Input!$I$12*(1+annual_incr_util)^9,IF(B106=Input!$I$13+120,Input!$I$12*(1+annual_incr_util)^10,I105))))))))))))</f>
        <v>581.20989088336523</v>
      </c>
      <c r="J106" s="139">
        <f>IF(Input!$I$16="",0,IF(B106=Input!$I$16,Input!$I$15,IF(B106=Input!$I$16+12,Input!$I$15*(1+annual_incr_advtg),IF(B106=Input!$I$16+24,Input!$I$15*(1+annual_incr_advtg)^2,IF(B106=Input!$I$16+36,Input!$I$15*(1+annual_incr_advtg)^3,IF(B106=Input!$I$16+48,Input!$I$15*(1+annual_incr_advtg)^4,IF(B106=Input!$I$16+60,Input!$I$15*(1+annual_incr_advtg)^5,IF(B106=Input!$I$16+72,Input!$I$15*(1+annual_incr_advtg)^6,IF(B106=Input!$I$16+84,Input!$I$15*(1+annual_incr_advtg)^7,IF(B106=Input!$I$16+96,Input!$I$15*(1+annual_incr_advtg)^8,IF(B106=Input!$I$16+108,Input!$I$15*(1+annual_incr_advtg)^9,IF(B106=Input!$I$16+120,Input!$I$15*(1+annual_incr_advtg)^10,0))))))))))))</f>
        <v>0</v>
      </c>
      <c r="K106" s="139">
        <f>IF(Input!$I$19="",0,IF(B106=Input!$I$19,Input!$I$18,IF(B106=Input!$I$19+12,Input!$I$18*(1+annual_incr_other1),IF(B106=Input!$I$19+24,Input!$I$18*(1+annual_incr_other1)^2,IF(B106=Input!$I$19+36,Input!$I$18*(1+annual_incr_other1)^3,IF(B106=Input!$I$19+48,Input!$I$18*(1+annual_incr_other1)^4,IF(B106=Input!$I$19+60,Input!$I$18*(1+annual_incr_other1)^5,IF(B106=Input!$I$19+72,Input!$I$18*(1+annual_incr_other1)^6,IF(B106=Input!$I$19+84,Input!$I$18*(1+annual_incr_other1)^7,IF(B106=Input!$I$19+96,Input!$I$18*(1+annual_incr_other1)^8,IF(B106=Input!$I$19+108,Input!$I$18*(1+annual_incr_other1)^9,IF(B106=Input!$I$19+120,Input!$I$18*(1+annual_incr_other1)^10,0))))))))))))</f>
        <v>0</v>
      </c>
      <c r="L106" s="156">
        <f>IF(OR(Input!$I$22="",B106&lt;Input!$I$22),0,IF(AND(B106&gt;=Input!$I$22,B106&lt;Input!$I$22+12),Input!$I$21,IF(B106=Input!$I$22+12,Input!$I$21*(1+annual_incr_other2),IF(B106=Input!$I$22+24,Input!$I$21*(1+annual_incr_other2)^2,IF(B106=Input!$I$22+36,Input!$I$21*(1+annual_incr_other2)^3,IF(B106=Input!$I$22+48,Input!$I$21*(1+annual_incr_other2)^4,IF(B106=Input!$I$22+60,Input!$I$21*(1+annual_incr_other2)^5,IF(B106=Input!$I$22+72,Input!$I$21*(1+annual_incr_other2)^6,IF(B106=Input!$I$22+84,Input!$I$21*(1+annual_incr_other2)^7,IF(B106=Input!$I$22+96,Input!$I$21*(1+annual_incr_other2)^8,IF(B106=Input!$I$22+108,Input!$I$21*(1+annual_incr_other2)^9,IF(B106=Input!$I$22+120,Input!$I$21*(1+annual_incr_other2)^10,L105))))))))))))</f>
        <v>670.12159363045475</v>
      </c>
      <c r="M106" s="139">
        <f>IF(OR(Input!$I$27="",B106&lt;Input!$I$27),0,E106*mgmt_fee)</f>
        <v>2563.4777032799998</v>
      </c>
      <c r="N106" s="139">
        <f>IF(OR(Input!$I$29="",B106&lt;Input!$I$29),0,E106*repairs_maint)</f>
        <v>3133.1394151199997</v>
      </c>
      <c r="O106" s="149">
        <f>IF(Input!$I$31="",0,IF(OR(B106=Input!$I$31,B106=Input!$I$31+12,B106=Input!$I$31+24,B106=Input!$I$31+36,B106=Input!$I$31+48,B106=Input!$I$31+60,B106=Input!$I$31+72,B106=Input!$I$31+84,B106=Input!$I$31+96,B106=Input!$I$31+108,B106=Input!$I$31+120),E106*other_3,0))</f>
        <v>0</v>
      </c>
      <c r="P106" s="158">
        <f t="shared" si="57"/>
        <v>21856.515226167314</v>
      </c>
      <c r="Q106" s="159">
        <f t="shared" si="58"/>
        <v>262974.34069383267</v>
      </c>
      <c r="R106" s="160"/>
      <c r="S106" s="161">
        <f>IF(AND(leveraged_property,B106&lt;=amort_period),-IPMT(interest_rate/12,B106,amort_period,loan_amount),0)</f>
        <v>37437.646830572216</v>
      </c>
      <c r="T106" s="149">
        <f t="shared" si="59"/>
        <v>16502.308297393014</v>
      </c>
      <c r="U106" s="149">
        <f>IF(AND(leveraged_property,B106&lt;=amort_period),-PMT(interest_rate/12,amort_period,loan_amount),0)</f>
        <v>53939.95512796523</v>
      </c>
      <c r="V106" s="149">
        <f t="shared" si="81"/>
        <v>8151711.5456456356</v>
      </c>
      <c r="W106" s="160"/>
      <c r="X106" s="149">
        <f t="shared" si="82"/>
        <v>127430.53202680664</v>
      </c>
      <c r="Y106" s="162">
        <f t="shared" si="83"/>
        <v>30093994.443450697</v>
      </c>
      <c r="Z106" s="156">
        <f t="shared" si="71"/>
        <v>38725614.500053875</v>
      </c>
      <c r="AA106" s="163">
        <f t="shared" ca="1" si="72"/>
        <v>38725614.500053875</v>
      </c>
      <c r="AB106" s="160"/>
      <c r="AC106" s="164">
        <f>Input!$C$25/12</f>
        <v>26538.461538461535</v>
      </c>
      <c r="AD106" s="139">
        <f t="shared" si="73"/>
        <v>198998.23232479891</v>
      </c>
      <c r="AE106" s="149">
        <f t="shared" si="74"/>
        <v>59699.469697439672</v>
      </c>
      <c r="AF106" s="139">
        <f ca="1">IF(AA106=0,0,AA106-(total_initial_cost-SUM($AC$5:AC106)))</f>
        <v>20732537.576976947</v>
      </c>
      <c r="AG106" s="139">
        <f t="shared" ca="1" si="75"/>
        <v>4146507.5153953899</v>
      </c>
      <c r="AH106" s="149">
        <f t="shared" ca="1" si="63"/>
        <v>34579106.984658487</v>
      </c>
      <c r="AI106" s="103"/>
      <c r="AJ106" s="165">
        <f t="shared" ca="1" si="76"/>
        <v>13879106.984658487</v>
      </c>
      <c r="AK106" s="165">
        <f t="shared" ca="1" si="66"/>
        <v>15748335.034514716</v>
      </c>
      <c r="AL106" s="300">
        <f t="shared" ca="1" si="67"/>
        <v>1.4061013423673854</v>
      </c>
      <c r="AM106" s="300">
        <f t="shared" si="68"/>
        <v>0.20899186972628278</v>
      </c>
      <c r="AN106" s="300">
        <f t="shared" si="69"/>
        <v>0.14434726581980434</v>
      </c>
      <c r="AO106" s="301">
        <f>IF(leveraged_property,SUM(Q95:Q106)/SUM(U95:U106),"N/A")</f>
        <v>4.6162261898150643</v>
      </c>
      <c r="AP106" s="103"/>
      <c r="AQ106" s="149">
        <f t="shared" si="64"/>
        <v>209034.38556586744</v>
      </c>
      <c r="AR106" s="149">
        <f t="shared" ca="1" si="77"/>
        <v>30782937.339974109</v>
      </c>
      <c r="AS106" s="288">
        <f ca="1">IF(down_payment&lt;=0,"N/A",IRR(($AQ$4:AQ105,AR106),))</f>
        <v>1.6912801789486561E-2</v>
      </c>
      <c r="AT106" s="290">
        <f t="shared" ca="1" si="78"/>
        <v>0.22293838258203835</v>
      </c>
      <c r="AU106" s="288">
        <f ca="1">IF(down_payment&lt;=0,"N/A",MIRR(($AQ$4:AQ105,AR106),finance_rate,reinvestment_rate))</f>
        <v>1.6393832794309393E-2</v>
      </c>
      <c r="AV106" s="290">
        <f t="shared" ca="1" si="79"/>
        <v>0.21547002884485589</v>
      </c>
      <c r="AW106" s="103"/>
      <c r="AX106" s="194" t="str">
        <f t="shared" si="80"/>
        <v/>
      </c>
      <c r="AY106" s="296" t="str">
        <f>IF(AND(B106=$BA$4,OR(down_payment&lt;=0,purchase_date="")),"N/A",IF(B106=$BA$4,XIRR(AX$4:AX106,A$4:A106),""))</f>
        <v/>
      </c>
      <c r="BA106" s="178"/>
    </row>
    <row r="107" spans="1:53">
      <c r="A107" s="137">
        <f t="shared" si="65"/>
        <v>43296</v>
      </c>
      <c r="B107" s="138">
        <f t="shared" si="55"/>
        <v>103</v>
      </c>
      <c r="C107" s="139">
        <f>C106+(C106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07" s="139">
        <f t="shared" si="70"/>
        <v>14991.097680000001</v>
      </c>
      <c r="E107" s="140">
        <f t="shared" si="56"/>
        <v>284830.85592</v>
      </c>
      <c r="F107" s="141"/>
      <c r="G107" s="157">
        <f>IF(Input!$I$7="",0,IF(B107=Input!$I$7,Input!$I$6,IF(B107=Input!$I$7+12,Input!$I$6*(1+annual_incr_proptax),IF(B107=Input!$I$7+24,Input!$I$6*(1+annual_incr_proptax)^2,IF(B107=Input!$I$7+36,Input!$I$6*(1+annual_incr_proptax)^3,IF(B107=Input!$I$7+48,Input!$I$6*(1+annual_incr_proptax)^4,IF(B107=Input!$I$7+60,Input!$I$6*(1+annual_incr_proptax)^5,IF(B107=Input!$I$7+72,Input!$I$6*(1+annual_incr_proptax)^6,IF(B107=Input!$I$7+84,Input!$I$6*(1+annual_incr_proptax)^7,IF(B107=Input!$I$7+96,Input!$I$6*(1+annual_incr_proptax)^8,IF(B107=Input!$I$7+108,Input!$I$6*(1+annual_incr_proptax)^9,IF(B107=Input!$I$7+120,Input!$I$6*(1+annual_incr_proptax)^10,0))))))))))))</f>
        <v>0</v>
      </c>
      <c r="H107" s="139">
        <f>IF(Input!$I$10="",0,IF(B107=Input!$I$10,Input!$I$9,IF(B107=Input!$I$10+12,Input!$I$9*(1+annual_incr_ins),IF(B107=Input!$I$10+24,Input!$I$9*(1+annual_incr_ins)^2,IF(B107=Input!$I$10+36,Input!$I$9*(1+annual_incr_ins)^3,IF(B107=Input!$I$10+48,Input!$I$9*(1+annual_incr_ins)^4,IF(B107=Input!$I$10+60,Input!$I$9*(1+annual_incr_ins)^5,IF(B107=Input!$I$10+72,Input!$I$9*(1+annual_incr_ins)^6,IF(B107=Input!$I$10+84,Input!$I$9*(1+annual_incr_ins)^7,IF(B107=Input!$I$10+96,Input!$I$9*(1+annual_incr_ins)^8,IF(B107=Input!$I$10+108,Input!$I$9*(1+annual_incr_ins)^9,IF(B107=Input!$I$10+120,Input!$I$9*(1+annual_incr_ins)^10,0))))))))))))</f>
        <v>0</v>
      </c>
      <c r="I107" s="139">
        <f>IF(OR(Input!$I$13="",B107&lt;Input!$I$13),0,IF(AND(B107&gt;=Input!$I$13,B107&lt;Input!$I$13+12),Input!$I$12,IF(B107=Input!$I$13+12,Input!$I$12*(1+annual_incr_util),IF(B107=Input!$I$13+24,Input!$I$12*(1+annual_incr_util)^2,IF(B107=Input!$I$13+36,Input!$I$12*(1+annual_incr_util)^3,IF(B107=Input!$I$13+48,Input!$I$12*(1+annual_incr_util)^4,IF(B107=Input!$I$13+60,Input!$I$12*(1+annual_incr_util)^5,IF(B107=Input!$I$13+72,Input!$I$12*(1+annual_incr_util)^6,IF(B107=Input!$I$13+84,Input!$I$12*(1+annual_incr_util)^7,IF(B107=Input!$I$13+96,Input!$I$12*(1+annual_incr_util)^8,IF(B107=Input!$I$13+108,Input!$I$12*(1+annual_incr_util)^9,IF(B107=Input!$I$13+120,Input!$I$12*(1+annual_incr_util)^10,I106))))))))))))</f>
        <v>581.20989088336523</v>
      </c>
      <c r="J107" s="139">
        <f>IF(Input!$I$16="",0,IF(B107=Input!$I$16,Input!$I$15,IF(B107=Input!$I$16+12,Input!$I$15*(1+annual_incr_advtg),IF(B107=Input!$I$16+24,Input!$I$15*(1+annual_incr_advtg)^2,IF(B107=Input!$I$16+36,Input!$I$15*(1+annual_incr_advtg)^3,IF(B107=Input!$I$16+48,Input!$I$15*(1+annual_incr_advtg)^4,IF(B107=Input!$I$16+60,Input!$I$15*(1+annual_incr_advtg)^5,IF(B107=Input!$I$16+72,Input!$I$15*(1+annual_incr_advtg)^6,IF(B107=Input!$I$16+84,Input!$I$15*(1+annual_incr_advtg)^7,IF(B107=Input!$I$16+96,Input!$I$15*(1+annual_incr_advtg)^8,IF(B107=Input!$I$16+108,Input!$I$15*(1+annual_incr_advtg)^9,IF(B107=Input!$I$16+120,Input!$I$15*(1+annual_incr_advtg)^10,0))))))))))))</f>
        <v>17877.694010320978</v>
      </c>
      <c r="K107" s="139">
        <f>IF(Input!$I$19="",0,IF(B107=Input!$I$19,Input!$I$18,IF(B107=Input!$I$19+12,Input!$I$18*(1+annual_incr_other1),IF(B107=Input!$I$19+24,Input!$I$18*(1+annual_incr_other1)^2,IF(B107=Input!$I$19+36,Input!$I$18*(1+annual_incr_other1)^3,IF(B107=Input!$I$19+48,Input!$I$18*(1+annual_incr_other1)^4,IF(B107=Input!$I$19+60,Input!$I$18*(1+annual_incr_other1)^5,IF(B107=Input!$I$19+72,Input!$I$18*(1+annual_incr_other1)^6,IF(B107=Input!$I$19+84,Input!$I$18*(1+annual_incr_other1)^7,IF(B107=Input!$I$19+96,Input!$I$18*(1+annual_incr_other1)^8,IF(B107=Input!$I$19+108,Input!$I$18*(1+annual_incr_other1)^9,IF(B107=Input!$I$19+120,Input!$I$18*(1+annual_incr_other1)^10,0))))))))))))</f>
        <v>0</v>
      </c>
      <c r="L107" s="156">
        <f>IF(OR(Input!$I$22="",B107&lt;Input!$I$22),0,IF(AND(B107&gt;=Input!$I$22,B107&lt;Input!$I$22+12),Input!$I$21,IF(B107=Input!$I$22+12,Input!$I$21*(1+annual_incr_other2),IF(B107=Input!$I$22+24,Input!$I$21*(1+annual_incr_other2)^2,IF(B107=Input!$I$22+36,Input!$I$21*(1+annual_incr_other2)^3,IF(B107=Input!$I$22+48,Input!$I$21*(1+annual_incr_other2)^4,IF(B107=Input!$I$22+60,Input!$I$21*(1+annual_incr_other2)^5,IF(B107=Input!$I$22+72,Input!$I$21*(1+annual_incr_other2)^6,IF(B107=Input!$I$22+84,Input!$I$21*(1+annual_incr_other2)^7,IF(B107=Input!$I$22+96,Input!$I$21*(1+annual_incr_other2)^8,IF(B107=Input!$I$22+108,Input!$I$21*(1+annual_incr_other2)^9,IF(B107=Input!$I$22+120,Input!$I$21*(1+annual_incr_other2)^10,L106))))))))))))</f>
        <v>670.12159363045475</v>
      </c>
      <c r="M107" s="139">
        <f>IF(OR(Input!$I$27="",B107&lt;Input!$I$27),0,E107*mgmt_fee)</f>
        <v>2563.4777032799998</v>
      </c>
      <c r="N107" s="139">
        <f>IF(OR(Input!$I$29="",B107&lt;Input!$I$29),0,E107*repairs_maint)</f>
        <v>3133.1394151199997</v>
      </c>
      <c r="O107" s="149">
        <f>IF(Input!$I$31="",0,IF(OR(B107=Input!$I$31,B107=Input!$I$31+12,B107=Input!$I$31+24,B107=Input!$I$31+36,B107=Input!$I$31+48,B107=Input!$I$31+60,B107=Input!$I$31+72,B107=Input!$I$31+84,B107=Input!$I$31+96,B107=Input!$I$31+108,B107=Input!$I$31+120),E107*other_3,0))</f>
        <v>0</v>
      </c>
      <c r="P107" s="158">
        <f t="shared" si="57"/>
        <v>24825.642613234799</v>
      </c>
      <c r="Q107" s="159">
        <f t="shared" si="58"/>
        <v>260005.21330676519</v>
      </c>
      <c r="R107" s="160"/>
      <c r="S107" s="161">
        <f>IF(AND(leveraged_property,B107&lt;=amort_period),-IPMT(interest_rate/12,B107,amort_period,loan_amount),0)</f>
        <v>37362.011250875832</v>
      </c>
      <c r="T107" s="149">
        <f t="shared" si="59"/>
        <v>16577.943877089398</v>
      </c>
      <c r="U107" s="149">
        <f>IF(AND(leveraged_property,B107&lt;=amort_period),-PMT(interest_rate/12,amort_period,loan_amount),0)</f>
        <v>53939.95512796523</v>
      </c>
      <c r="V107" s="149">
        <f t="shared" si="81"/>
        <v>8135133.6017685458</v>
      </c>
      <c r="W107" s="160"/>
      <c r="X107" s="149">
        <f t="shared" si="82"/>
        <v>127430.53202680664</v>
      </c>
      <c r="Y107" s="162">
        <f t="shared" si="83"/>
        <v>30216327.754196431</v>
      </c>
      <c r="Z107" s="156">
        <f t="shared" si="71"/>
        <v>38713022.808713719</v>
      </c>
      <c r="AA107" s="163">
        <f t="shared" ca="1" si="72"/>
        <v>38713022.808713719</v>
      </c>
      <c r="AB107" s="160"/>
      <c r="AC107" s="164">
        <f>Input!$C$25/12</f>
        <v>26538.461538461535</v>
      </c>
      <c r="AD107" s="139">
        <f t="shared" si="73"/>
        <v>196104.74051742782</v>
      </c>
      <c r="AE107" s="149">
        <f t="shared" si="74"/>
        <v>58831.422155228349</v>
      </c>
      <c r="AF107" s="139">
        <f ca="1">IF(AA107=0,0,AA107-(total_initial_cost-SUM($AC$5:AC107)))</f>
        <v>20746484.347175255</v>
      </c>
      <c r="AG107" s="139">
        <f t="shared" ca="1" si="75"/>
        <v>4149296.8694350515</v>
      </c>
      <c r="AH107" s="149">
        <f t="shared" ca="1" si="63"/>
        <v>34563725.93927867</v>
      </c>
      <c r="AI107" s="103"/>
      <c r="AJ107" s="165">
        <f t="shared" ca="1" si="76"/>
        <v>13863725.93927867</v>
      </c>
      <c r="AK107" s="165">
        <f t="shared" ca="1" si="66"/>
        <v>15761268.462159663</v>
      </c>
      <c r="AL107" s="300">
        <f t="shared" ca="1" si="67"/>
        <v>1.4072561126928271</v>
      </c>
      <c r="AM107" s="300">
        <f t="shared" si="68"/>
        <v>0.21252437443680233</v>
      </c>
      <c r="AN107" s="300">
        <f t="shared" si="69"/>
        <v>0.14625857271631734</v>
      </c>
      <c r="AO107" s="301">
        <f>IF(leveraged_property,SUM(Q96:Q107)/SUM(U96:U107),"N/A")</f>
        <v>4.677349792692806</v>
      </c>
      <c r="AP107" s="103"/>
      <c r="AQ107" s="149">
        <f t="shared" si="64"/>
        <v>206065.25817879997</v>
      </c>
      <c r="AR107" s="149">
        <f t="shared" ca="1" si="77"/>
        <v>30783954.465123974</v>
      </c>
      <c r="AS107" s="288">
        <f ca="1">IF(down_payment&lt;=0,"N/A",IRR(($AQ$4:AQ106,AR107),))</f>
        <v>1.6845311901754187E-2</v>
      </c>
      <c r="AT107" s="290">
        <f t="shared" ca="1" si="78"/>
        <v>0.22196477870987685</v>
      </c>
      <c r="AU107" s="288">
        <f ca="1">IF(down_payment&lt;=0,"N/A",MIRR(($AQ$4:AQ106,AR107),finance_rate,reinvestment_rate))</f>
        <v>1.6339125908181984E-2</v>
      </c>
      <c r="AV107" s="290">
        <f t="shared" ca="1" si="79"/>
        <v>0.21468519646424977</v>
      </c>
      <c r="AW107" s="103"/>
      <c r="AX107" s="194" t="str">
        <f t="shared" si="80"/>
        <v/>
      </c>
      <c r="AY107" s="296" t="str">
        <f>IF(AND(B107=$BA$4,OR(down_payment&lt;=0,purchase_date="")),"N/A",IF(B107=$BA$4,XIRR(AX$4:AX107,A$4:A107),""))</f>
        <v/>
      </c>
      <c r="BA107" s="178"/>
    </row>
    <row r="108" spans="1:53">
      <c r="A108" s="137">
        <f t="shared" si="65"/>
        <v>43327</v>
      </c>
      <c r="B108" s="138">
        <f t="shared" si="55"/>
        <v>104</v>
      </c>
      <c r="C108" s="139">
        <f>C107+(C107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08" s="139">
        <f t="shared" si="70"/>
        <v>14991.097680000001</v>
      </c>
      <c r="E108" s="140">
        <f t="shared" si="56"/>
        <v>284830.85592</v>
      </c>
      <c r="F108" s="141"/>
      <c r="G108" s="157">
        <f>IF(Input!$I$7="",0,IF(B108=Input!$I$7,Input!$I$6,IF(B108=Input!$I$7+12,Input!$I$6*(1+annual_incr_proptax),IF(B108=Input!$I$7+24,Input!$I$6*(1+annual_incr_proptax)^2,IF(B108=Input!$I$7+36,Input!$I$6*(1+annual_incr_proptax)^3,IF(B108=Input!$I$7+48,Input!$I$6*(1+annual_incr_proptax)^4,IF(B108=Input!$I$7+60,Input!$I$6*(1+annual_incr_proptax)^5,IF(B108=Input!$I$7+72,Input!$I$6*(1+annual_incr_proptax)^6,IF(B108=Input!$I$7+84,Input!$I$6*(1+annual_incr_proptax)^7,IF(B108=Input!$I$7+96,Input!$I$6*(1+annual_incr_proptax)^8,IF(B108=Input!$I$7+108,Input!$I$6*(1+annual_incr_proptax)^9,IF(B108=Input!$I$7+120,Input!$I$6*(1+annual_incr_proptax)^10,0))))))))))))</f>
        <v>0</v>
      </c>
      <c r="H108" s="139">
        <f>IF(Input!$I$10="",0,IF(B108=Input!$I$10,Input!$I$9,IF(B108=Input!$I$10+12,Input!$I$9*(1+annual_incr_ins),IF(B108=Input!$I$10+24,Input!$I$9*(1+annual_incr_ins)^2,IF(B108=Input!$I$10+36,Input!$I$9*(1+annual_incr_ins)^3,IF(B108=Input!$I$10+48,Input!$I$9*(1+annual_incr_ins)^4,IF(B108=Input!$I$10+60,Input!$I$9*(1+annual_incr_ins)^5,IF(B108=Input!$I$10+72,Input!$I$9*(1+annual_incr_ins)^6,IF(B108=Input!$I$10+84,Input!$I$9*(1+annual_incr_ins)^7,IF(B108=Input!$I$10+96,Input!$I$9*(1+annual_incr_ins)^8,IF(B108=Input!$I$10+108,Input!$I$9*(1+annual_incr_ins)^9,IF(B108=Input!$I$10+120,Input!$I$9*(1+annual_incr_ins)^10,0))))))))))))</f>
        <v>0</v>
      </c>
      <c r="I108" s="139">
        <f>IF(OR(Input!$I$13="",B108&lt;Input!$I$13),0,IF(AND(B108&gt;=Input!$I$13,B108&lt;Input!$I$13+12),Input!$I$12,IF(B108=Input!$I$13+12,Input!$I$12*(1+annual_incr_util),IF(B108=Input!$I$13+24,Input!$I$12*(1+annual_incr_util)^2,IF(B108=Input!$I$13+36,Input!$I$12*(1+annual_incr_util)^3,IF(B108=Input!$I$13+48,Input!$I$12*(1+annual_incr_util)^4,IF(B108=Input!$I$13+60,Input!$I$12*(1+annual_incr_util)^5,IF(B108=Input!$I$13+72,Input!$I$12*(1+annual_incr_util)^6,IF(B108=Input!$I$13+84,Input!$I$12*(1+annual_incr_util)^7,IF(B108=Input!$I$13+96,Input!$I$12*(1+annual_incr_util)^8,IF(B108=Input!$I$13+108,Input!$I$12*(1+annual_incr_util)^9,IF(B108=Input!$I$13+120,Input!$I$12*(1+annual_incr_util)^10,I107))))))))))))</f>
        <v>581.20989088336523</v>
      </c>
      <c r="J108" s="139">
        <f>IF(Input!$I$16="",0,IF(B108=Input!$I$16,Input!$I$15,IF(B108=Input!$I$16+12,Input!$I$15*(1+annual_incr_advtg),IF(B108=Input!$I$16+24,Input!$I$15*(1+annual_incr_advtg)^2,IF(B108=Input!$I$16+36,Input!$I$15*(1+annual_incr_advtg)^3,IF(B108=Input!$I$16+48,Input!$I$15*(1+annual_incr_advtg)^4,IF(B108=Input!$I$16+60,Input!$I$15*(1+annual_incr_advtg)^5,IF(B108=Input!$I$16+72,Input!$I$15*(1+annual_incr_advtg)^6,IF(B108=Input!$I$16+84,Input!$I$15*(1+annual_incr_advtg)^7,IF(B108=Input!$I$16+96,Input!$I$15*(1+annual_incr_advtg)^8,IF(B108=Input!$I$16+108,Input!$I$15*(1+annual_incr_advtg)^9,IF(B108=Input!$I$16+120,Input!$I$15*(1+annual_incr_advtg)^10,0))))))))))))</f>
        <v>0</v>
      </c>
      <c r="K108" s="139">
        <f>IF(Input!$I$19="",0,IF(B108=Input!$I$19,Input!$I$18,IF(B108=Input!$I$19+12,Input!$I$18*(1+annual_incr_other1),IF(B108=Input!$I$19+24,Input!$I$18*(1+annual_incr_other1)^2,IF(B108=Input!$I$19+36,Input!$I$18*(1+annual_incr_other1)^3,IF(B108=Input!$I$19+48,Input!$I$18*(1+annual_incr_other1)^4,IF(B108=Input!$I$19+60,Input!$I$18*(1+annual_incr_other1)^5,IF(B108=Input!$I$19+72,Input!$I$18*(1+annual_incr_other1)^6,IF(B108=Input!$I$19+84,Input!$I$18*(1+annual_incr_other1)^7,IF(B108=Input!$I$19+96,Input!$I$18*(1+annual_incr_other1)^8,IF(B108=Input!$I$19+108,Input!$I$18*(1+annual_incr_other1)^9,IF(B108=Input!$I$19+120,Input!$I$18*(1+annual_incr_other1)^10,0))))))))))))</f>
        <v>0</v>
      </c>
      <c r="L108" s="156">
        <f>IF(OR(Input!$I$22="",B108&lt;Input!$I$22),0,IF(AND(B108&gt;=Input!$I$22,B108&lt;Input!$I$22+12),Input!$I$21,IF(B108=Input!$I$22+12,Input!$I$21*(1+annual_incr_other2),IF(B108=Input!$I$22+24,Input!$I$21*(1+annual_incr_other2)^2,IF(B108=Input!$I$22+36,Input!$I$21*(1+annual_incr_other2)^3,IF(B108=Input!$I$22+48,Input!$I$21*(1+annual_incr_other2)^4,IF(B108=Input!$I$22+60,Input!$I$21*(1+annual_incr_other2)^5,IF(B108=Input!$I$22+72,Input!$I$21*(1+annual_incr_other2)^6,IF(B108=Input!$I$22+84,Input!$I$21*(1+annual_incr_other2)^7,IF(B108=Input!$I$22+96,Input!$I$21*(1+annual_incr_other2)^8,IF(B108=Input!$I$22+108,Input!$I$21*(1+annual_incr_other2)^9,IF(B108=Input!$I$22+120,Input!$I$21*(1+annual_incr_other2)^10,L107))))))))))))</f>
        <v>670.12159363045475</v>
      </c>
      <c r="M108" s="139">
        <f>IF(OR(Input!$I$27="",B108&lt;Input!$I$27),0,E108*mgmt_fee)</f>
        <v>2563.4777032799998</v>
      </c>
      <c r="N108" s="139">
        <f>IF(OR(Input!$I$29="",B108&lt;Input!$I$29),0,E108*repairs_maint)</f>
        <v>3133.1394151199997</v>
      </c>
      <c r="O108" s="149">
        <f>IF(Input!$I$31="",0,IF(OR(B108=Input!$I$31,B108=Input!$I$31+12,B108=Input!$I$31+24,B108=Input!$I$31+36,B108=Input!$I$31+48,B108=Input!$I$31+60,B108=Input!$I$31+72,B108=Input!$I$31+84,B108=Input!$I$31+96,B108=Input!$I$31+108,B108=Input!$I$31+120),E108*other_3,0))</f>
        <v>0</v>
      </c>
      <c r="P108" s="158">
        <f t="shared" si="57"/>
        <v>6947.9486029138188</v>
      </c>
      <c r="Q108" s="159">
        <f t="shared" si="58"/>
        <v>277882.90731708618</v>
      </c>
      <c r="R108" s="160"/>
      <c r="S108" s="161">
        <f>IF(AND(leveraged_property,B108&lt;=amort_period),-IPMT(interest_rate/12,B108,amort_period,loan_amount),0)</f>
        <v>37286.029008105841</v>
      </c>
      <c r="T108" s="149">
        <f t="shared" si="59"/>
        <v>16653.926119859389</v>
      </c>
      <c r="U108" s="149">
        <f>IF(AND(leveraged_property,B108&lt;=amort_period),-PMT(interest_rate/12,amort_period,loan_amount),0)</f>
        <v>53939.95512796523</v>
      </c>
      <c r="V108" s="149">
        <f t="shared" si="81"/>
        <v>8118479.6756486865</v>
      </c>
      <c r="W108" s="160"/>
      <c r="X108" s="149">
        <f t="shared" si="82"/>
        <v>127430.53202680664</v>
      </c>
      <c r="Y108" s="162">
        <f t="shared" si="83"/>
        <v>30338661.064942166</v>
      </c>
      <c r="Z108" s="156">
        <f t="shared" si="71"/>
        <v>38712595.100378186</v>
      </c>
      <c r="AA108" s="163">
        <f t="shared" ca="1" si="72"/>
        <v>38712595.100378186</v>
      </c>
      <c r="AB108" s="160"/>
      <c r="AC108" s="164">
        <f>Input!$C$25/12</f>
        <v>26538.461538461535</v>
      </c>
      <c r="AD108" s="139">
        <f t="shared" si="73"/>
        <v>214058.41677051882</v>
      </c>
      <c r="AE108" s="149">
        <f t="shared" si="74"/>
        <v>64217.525031155645</v>
      </c>
      <c r="AF108" s="139">
        <f ca="1">IF(AA108=0,0,AA108-(total_initial_cost-SUM($AC$5:AC108)))</f>
        <v>20772595.100378182</v>
      </c>
      <c r="AG108" s="139">
        <f t="shared" ca="1" si="75"/>
        <v>4154519.0200756365</v>
      </c>
      <c r="AH108" s="149">
        <f t="shared" ca="1" si="63"/>
        <v>34558076.080302551</v>
      </c>
      <c r="AI108" s="103"/>
      <c r="AJ108" s="165">
        <f t="shared" ca="1" si="76"/>
        <v>13858076.080302551</v>
      </c>
      <c r="AK108" s="165">
        <f t="shared" ca="1" si="66"/>
        <v>15784607.408281716</v>
      </c>
      <c r="AL108" s="300">
        <f t="shared" ca="1" si="67"/>
        <v>1.4093399471680104</v>
      </c>
      <c r="AM108" s="300">
        <f t="shared" si="68"/>
        <v>0.21614252864663797</v>
      </c>
      <c r="AN108" s="300">
        <f t="shared" si="69"/>
        <v>0.14821622137091439</v>
      </c>
      <c r="AO108" s="301">
        <f>IF(leveraged_property,SUM(Q97:Q108)/SUM(U97:U108),"N/A")</f>
        <v>4.7399554051959782</v>
      </c>
      <c r="AP108" s="103"/>
      <c r="AQ108" s="149">
        <f t="shared" si="64"/>
        <v>223942.95218912096</v>
      </c>
      <c r="AR108" s="149">
        <f t="shared" ca="1" si="77"/>
        <v>30818058.376918618</v>
      </c>
      <c r="AS108" s="288">
        <f ca="1">IF(down_payment&lt;=0,"N/A",IRR(($AQ$4:AQ107,AR108),))</f>
        <v>1.6785849183892254E-2</v>
      </c>
      <c r="AT108" s="290">
        <f t="shared" ca="1" si="78"/>
        <v>0.22110756299703205</v>
      </c>
      <c r="AU108" s="288">
        <f ca="1">IF(down_payment&lt;=0,"N/A",MIRR(($AQ$4:AQ107,AR108),finance_rate,reinvestment_rate))</f>
        <v>1.6290795477218012E-2</v>
      </c>
      <c r="AV108" s="290">
        <f t="shared" ca="1" si="79"/>
        <v>0.21399222807564877</v>
      </c>
      <c r="AW108" s="103"/>
      <c r="AX108" s="194" t="str">
        <f t="shared" si="80"/>
        <v/>
      </c>
      <c r="AY108" s="296" t="str">
        <f>IF(AND(B108=$BA$4,OR(down_payment&lt;=0,purchase_date="")),"N/A",IF(B108=$BA$4,XIRR(AX$4:AX108,A$4:A108),""))</f>
        <v/>
      </c>
      <c r="BA108" s="178"/>
    </row>
    <row r="109" spans="1:53">
      <c r="A109" s="137">
        <f t="shared" si="65"/>
        <v>43358</v>
      </c>
      <c r="B109" s="138">
        <f t="shared" si="55"/>
        <v>105</v>
      </c>
      <c r="C109" s="139">
        <f>C108+(C108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09" s="139">
        <f t="shared" si="70"/>
        <v>14991.097680000001</v>
      </c>
      <c r="E109" s="140">
        <f t="shared" si="56"/>
        <v>284830.85592</v>
      </c>
      <c r="F109" s="141"/>
      <c r="G109" s="157">
        <f>IF(Input!$I$7="",0,IF(B109=Input!$I$7,Input!$I$6,IF(B109=Input!$I$7+12,Input!$I$6*(1+annual_incr_proptax),IF(B109=Input!$I$7+24,Input!$I$6*(1+annual_incr_proptax)^2,IF(B109=Input!$I$7+36,Input!$I$6*(1+annual_incr_proptax)^3,IF(B109=Input!$I$7+48,Input!$I$6*(1+annual_incr_proptax)^4,IF(B109=Input!$I$7+60,Input!$I$6*(1+annual_incr_proptax)^5,IF(B109=Input!$I$7+72,Input!$I$6*(1+annual_incr_proptax)^6,IF(B109=Input!$I$7+84,Input!$I$6*(1+annual_incr_proptax)^7,IF(B109=Input!$I$7+96,Input!$I$6*(1+annual_incr_proptax)^8,IF(B109=Input!$I$7+108,Input!$I$6*(1+annual_incr_proptax)^9,IF(B109=Input!$I$7+120,Input!$I$6*(1+annual_incr_proptax)^10,0))))))))))))</f>
        <v>0</v>
      </c>
      <c r="H109" s="139">
        <f>IF(Input!$I$10="",0,IF(B109=Input!$I$10,Input!$I$9,IF(B109=Input!$I$10+12,Input!$I$9*(1+annual_incr_ins),IF(B109=Input!$I$10+24,Input!$I$9*(1+annual_incr_ins)^2,IF(B109=Input!$I$10+36,Input!$I$9*(1+annual_incr_ins)^3,IF(B109=Input!$I$10+48,Input!$I$9*(1+annual_incr_ins)^4,IF(B109=Input!$I$10+60,Input!$I$9*(1+annual_incr_ins)^5,IF(B109=Input!$I$10+72,Input!$I$9*(1+annual_incr_ins)^6,IF(B109=Input!$I$10+84,Input!$I$9*(1+annual_incr_ins)^7,IF(B109=Input!$I$10+96,Input!$I$9*(1+annual_incr_ins)^8,IF(B109=Input!$I$10+108,Input!$I$9*(1+annual_incr_ins)^9,IF(B109=Input!$I$10+120,Input!$I$9*(1+annual_incr_ins)^10,0))))))))))))</f>
        <v>0</v>
      </c>
      <c r="I109" s="139">
        <f>IF(OR(Input!$I$13="",B109&lt;Input!$I$13),0,IF(AND(B109&gt;=Input!$I$13,B109&lt;Input!$I$13+12),Input!$I$12,IF(B109=Input!$I$13+12,Input!$I$12*(1+annual_incr_util),IF(B109=Input!$I$13+24,Input!$I$12*(1+annual_incr_util)^2,IF(B109=Input!$I$13+36,Input!$I$12*(1+annual_incr_util)^3,IF(B109=Input!$I$13+48,Input!$I$12*(1+annual_incr_util)^4,IF(B109=Input!$I$13+60,Input!$I$12*(1+annual_incr_util)^5,IF(B109=Input!$I$13+72,Input!$I$12*(1+annual_incr_util)^6,IF(B109=Input!$I$13+84,Input!$I$12*(1+annual_incr_util)^7,IF(B109=Input!$I$13+96,Input!$I$12*(1+annual_incr_util)^8,IF(B109=Input!$I$13+108,Input!$I$12*(1+annual_incr_util)^9,IF(B109=Input!$I$13+120,Input!$I$12*(1+annual_incr_util)^10,I108))))))))))))</f>
        <v>581.20989088336523</v>
      </c>
      <c r="J109" s="139">
        <f>IF(Input!$I$16="",0,IF(B109=Input!$I$16,Input!$I$15,IF(B109=Input!$I$16+12,Input!$I$15*(1+annual_incr_advtg),IF(B109=Input!$I$16+24,Input!$I$15*(1+annual_incr_advtg)^2,IF(B109=Input!$I$16+36,Input!$I$15*(1+annual_incr_advtg)^3,IF(B109=Input!$I$16+48,Input!$I$15*(1+annual_incr_advtg)^4,IF(B109=Input!$I$16+60,Input!$I$15*(1+annual_incr_advtg)^5,IF(B109=Input!$I$16+72,Input!$I$15*(1+annual_incr_advtg)^6,IF(B109=Input!$I$16+84,Input!$I$15*(1+annual_incr_advtg)^7,IF(B109=Input!$I$16+96,Input!$I$15*(1+annual_incr_advtg)^8,IF(B109=Input!$I$16+108,Input!$I$15*(1+annual_incr_advtg)^9,IF(B109=Input!$I$16+120,Input!$I$15*(1+annual_incr_advtg)^10,0))))))))))))</f>
        <v>0</v>
      </c>
      <c r="K109" s="139">
        <f>IF(Input!$I$19="",0,IF(B109=Input!$I$19,Input!$I$18,IF(B109=Input!$I$19+12,Input!$I$18*(1+annual_incr_other1),IF(B109=Input!$I$19+24,Input!$I$18*(1+annual_incr_other1)^2,IF(B109=Input!$I$19+36,Input!$I$18*(1+annual_incr_other1)^3,IF(B109=Input!$I$19+48,Input!$I$18*(1+annual_incr_other1)^4,IF(B109=Input!$I$19+60,Input!$I$18*(1+annual_incr_other1)^5,IF(B109=Input!$I$19+72,Input!$I$18*(1+annual_incr_other1)^6,IF(B109=Input!$I$19+84,Input!$I$18*(1+annual_incr_other1)^7,IF(B109=Input!$I$19+96,Input!$I$18*(1+annual_incr_other1)^8,IF(B109=Input!$I$19+108,Input!$I$18*(1+annual_incr_other1)^9,IF(B109=Input!$I$19+120,Input!$I$18*(1+annual_incr_other1)^10,0))))))))))))</f>
        <v>0</v>
      </c>
      <c r="L109" s="156">
        <f>IF(OR(Input!$I$22="",B109&lt;Input!$I$22),0,IF(AND(B109&gt;=Input!$I$22,B109&lt;Input!$I$22+12),Input!$I$21,IF(B109=Input!$I$22+12,Input!$I$21*(1+annual_incr_other2),IF(B109=Input!$I$22+24,Input!$I$21*(1+annual_incr_other2)^2,IF(B109=Input!$I$22+36,Input!$I$21*(1+annual_incr_other2)^3,IF(B109=Input!$I$22+48,Input!$I$21*(1+annual_incr_other2)^4,IF(B109=Input!$I$22+60,Input!$I$21*(1+annual_incr_other2)^5,IF(B109=Input!$I$22+72,Input!$I$21*(1+annual_incr_other2)^6,IF(B109=Input!$I$22+84,Input!$I$21*(1+annual_incr_other2)^7,IF(B109=Input!$I$22+96,Input!$I$21*(1+annual_incr_other2)^8,IF(B109=Input!$I$22+108,Input!$I$21*(1+annual_incr_other2)^9,IF(B109=Input!$I$22+120,Input!$I$21*(1+annual_incr_other2)^10,L108))))))))))))</f>
        <v>670.12159363045475</v>
      </c>
      <c r="M109" s="139">
        <f>IF(OR(Input!$I$27="",B109&lt;Input!$I$27),0,E109*mgmt_fee)</f>
        <v>2563.4777032799998</v>
      </c>
      <c r="N109" s="139">
        <f>IF(OR(Input!$I$29="",B109&lt;Input!$I$29),0,E109*repairs_maint)</f>
        <v>3133.1394151199997</v>
      </c>
      <c r="O109" s="149">
        <f>IF(Input!$I$31="",0,IF(OR(B109=Input!$I$31,B109=Input!$I$31+12,B109=Input!$I$31+24,B109=Input!$I$31+36,B109=Input!$I$31+48,B109=Input!$I$31+60,B109=Input!$I$31+72,B109=Input!$I$31+84,B109=Input!$I$31+96,B109=Input!$I$31+108,B109=Input!$I$31+120),E109*other_3,0))</f>
        <v>0</v>
      </c>
      <c r="P109" s="158">
        <f t="shared" si="57"/>
        <v>6947.9486029138188</v>
      </c>
      <c r="Q109" s="159">
        <f t="shared" si="58"/>
        <v>277882.90731708618</v>
      </c>
      <c r="R109" s="160"/>
      <c r="S109" s="161">
        <f>IF(AND(leveraged_property,B109&lt;=amort_period),-IPMT(interest_rate/12,B109,amort_period,loan_amount),0)</f>
        <v>37209.69851338982</v>
      </c>
      <c r="T109" s="149">
        <f t="shared" si="59"/>
        <v>16730.25661457541</v>
      </c>
      <c r="U109" s="149">
        <f>IF(AND(leveraged_property,B109&lt;=amort_period),-PMT(interest_rate/12,amort_period,loan_amount),0)</f>
        <v>53939.95512796523</v>
      </c>
      <c r="V109" s="149">
        <f t="shared" si="81"/>
        <v>8101749.4190341113</v>
      </c>
      <c r="W109" s="160"/>
      <c r="X109" s="149">
        <f t="shared" si="82"/>
        <v>127430.53202680664</v>
      </c>
      <c r="Y109" s="162">
        <f t="shared" si="83"/>
        <v>30460994.375687901</v>
      </c>
      <c r="Z109" s="156">
        <f t="shared" si="71"/>
        <v>38712167.392042652</v>
      </c>
      <c r="AA109" s="163">
        <f t="shared" ca="1" si="72"/>
        <v>38712167.392042652</v>
      </c>
      <c r="AB109" s="160"/>
      <c r="AC109" s="164">
        <f>Input!$C$25/12</f>
        <v>26538.461538461535</v>
      </c>
      <c r="AD109" s="139">
        <f t="shared" si="73"/>
        <v>214134.74726523482</v>
      </c>
      <c r="AE109" s="149">
        <f t="shared" si="74"/>
        <v>64240.424179570444</v>
      </c>
      <c r="AF109" s="139">
        <f ca="1">IF(AA109=0,0,AA109-(total_initial_cost-SUM($AC$5:AC109)))</f>
        <v>20798705.853581112</v>
      </c>
      <c r="AG109" s="139">
        <f t="shared" ca="1" si="75"/>
        <v>4159741.1707162224</v>
      </c>
      <c r="AH109" s="149">
        <f t="shared" ca="1" si="63"/>
        <v>34552426.221326426</v>
      </c>
      <c r="AI109" s="103"/>
      <c r="AJ109" s="165">
        <f t="shared" ca="1" si="76"/>
        <v>13852426.221326426</v>
      </c>
      <c r="AK109" s="165">
        <f t="shared" ca="1" si="66"/>
        <v>15807949.207419183</v>
      </c>
      <c r="AL109" s="300">
        <f t="shared" ca="1" si="67"/>
        <v>1.4114240363767128</v>
      </c>
      <c r="AM109" s="300">
        <f t="shared" si="68"/>
        <v>0.21976068285647354</v>
      </c>
      <c r="AN109" s="300">
        <f t="shared" si="69"/>
        <v>0.15017387002551144</v>
      </c>
      <c r="AO109" s="301">
        <f>IF(leveraged_property,SUM(Q98:Q109)/SUM(U98:U109),"N/A")</f>
        <v>4.8025610176991504</v>
      </c>
      <c r="AP109" s="103"/>
      <c r="AQ109" s="149">
        <f t="shared" si="64"/>
        <v>223942.95218912096</v>
      </c>
      <c r="AR109" s="149">
        <f t="shared" ca="1" si="77"/>
        <v>30834360.925197657</v>
      </c>
      <c r="AS109" s="288">
        <f ca="1">IF(down_payment&lt;=0,"N/A",IRR(($AQ$4:AQ108,AR109),))</f>
        <v>1.6727701204055746E-2</v>
      </c>
      <c r="AT109" s="290">
        <f t="shared" ca="1" si="78"/>
        <v>0.2202698336900839</v>
      </c>
      <c r="AU109" s="288">
        <f ca="1">IF(down_payment&lt;=0,"N/A",MIRR(($AQ$4:AQ108,AR109),finance_rate,reinvestment_rate))</f>
        <v>1.6243755101358781E-2</v>
      </c>
      <c r="AV109" s="290">
        <f t="shared" ca="1" si="79"/>
        <v>0.2133181047013637</v>
      </c>
      <c r="AW109" s="103"/>
      <c r="AX109" s="194" t="str">
        <f t="shared" si="80"/>
        <v/>
      </c>
      <c r="AY109" s="296" t="str">
        <f>IF(AND(B109=$BA$4,OR(down_payment&lt;=0,purchase_date="")),"N/A",IF(B109=$BA$4,XIRR(AX$4:AX109,A$4:A109),""))</f>
        <v/>
      </c>
      <c r="BA109" s="178"/>
    </row>
    <row r="110" spans="1:53">
      <c r="A110" s="137">
        <f t="shared" si="65"/>
        <v>43388</v>
      </c>
      <c r="B110" s="138">
        <f t="shared" si="55"/>
        <v>106</v>
      </c>
      <c r="C110" s="139">
        <f>C109+(C109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0" s="139">
        <f t="shared" si="70"/>
        <v>14991.097680000001</v>
      </c>
      <c r="E110" s="140">
        <f t="shared" si="56"/>
        <v>284830.85592</v>
      </c>
      <c r="F110" s="141"/>
      <c r="G110" s="157">
        <f>IF(Input!$I$7="",0,IF(B110=Input!$I$7,Input!$I$6,IF(B110=Input!$I$7+12,Input!$I$6*(1+annual_incr_proptax),IF(B110=Input!$I$7+24,Input!$I$6*(1+annual_incr_proptax)^2,IF(B110=Input!$I$7+36,Input!$I$6*(1+annual_incr_proptax)^3,IF(B110=Input!$I$7+48,Input!$I$6*(1+annual_incr_proptax)^4,IF(B110=Input!$I$7+60,Input!$I$6*(1+annual_incr_proptax)^5,IF(B110=Input!$I$7+72,Input!$I$6*(1+annual_incr_proptax)^6,IF(B110=Input!$I$7+84,Input!$I$6*(1+annual_incr_proptax)^7,IF(B110=Input!$I$7+96,Input!$I$6*(1+annual_incr_proptax)^8,IF(B110=Input!$I$7+108,Input!$I$6*(1+annual_incr_proptax)^9,IF(B110=Input!$I$7+120,Input!$I$6*(1+annual_incr_proptax)^10,0))))))))))))</f>
        <v>0</v>
      </c>
      <c r="H110" s="139">
        <f>IF(Input!$I$10="",0,IF(B110=Input!$I$10,Input!$I$9,IF(B110=Input!$I$10+12,Input!$I$9*(1+annual_incr_ins),IF(B110=Input!$I$10+24,Input!$I$9*(1+annual_incr_ins)^2,IF(B110=Input!$I$10+36,Input!$I$9*(1+annual_incr_ins)^3,IF(B110=Input!$I$10+48,Input!$I$9*(1+annual_incr_ins)^4,IF(B110=Input!$I$10+60,Input!$I$9*(1+annual_incr_ins)^5,IF(B110=Input!$I$10+72,Input!$I$9*(1+annual_incr_ins)^6,IF(B110=Input!$I$10+84,Input!$I$9*(1+annual_incr_ins)^7,IF(B110=Input!$I$10+96,Input!$I$9*(1+annual_incr_ins)^8,IF(B110=Input!$I$10+108,Input!$I$9*(1+annual_incr_ins)^9,IF(B110=Input!$I$10+120,Input!$I$9*(1+annual_incr_ins)^10,0))))))))))))</f>
        <v>0</v>
      </c>
      <c r="I110" s="139">
        <f>IF(OR(Input!$I$13="",B110&lt;Input!$I$13),0,IF(AND(B110&gt;=Input!$I$13,B110&lt;Input!$I$13+12),Input!$I$12,IF(B110=Input!$I$13+12,Input!$I$12*(1+annual_incr_util),IF(B110=Input!$I$13+24,Input!$I$12*(1+annual_incr_util)^2,IF(B110=Input!$I$13+36,Input!$I$12*(1+annual_incr_util)^3,IF(B110=Input!$I$13+48,Input!$I$12*(1+annual_incr_util)^4,IF(B110=Input!$I$13+60,Input!$I$12*(1+annual_incr_util)^5,IF(B110=Input!$I$13+72,Input!$I$12*(1+annual_incr_util)^6,IF(B110=Input!$I$13+84,Input!$I$12*(1+annual_incr_util)^7,IF(B110=Input!$I$13+96,Input!$I$12*(1+annual_incr_util)^8,IF(B110=Input!$I$13+108,Input!$I$12*(1+annual_incr_util)^9,IF(B110=Input!$I$13+120,Input!$I$12*(1+annual_incr_util)^10,I109))))))))))))</f>
        <v>581.20989088336523</v>
      </c>
      <c r="J110" s="139">
        <f>IF(Input!$I$16="",0,IF(B110=Input!$I$16,Input!$I$15,IF(B110=Input!$I$16+12,Input!$I$15*(1+annual_incr_advtg),IF(B110=Input!$I$16+24,Input!$I$15*(1+annual_incr_advtg)^2,IF(B110=Input!$I$16+36,Input!$I$15*(1+annual_incr_advtg)^3,IF(B110=Input!$I$16+48,Input!$I$15*(1+annual_incr_advtg)^4,IF(B110=Input!$I$16+60,Input!$I$15*(1+annual_incr_advtg)^5,IF(B110=Input!$I$16+72,Input!$I$15*(1+annual_incr_advtg)^6,IF(B110=Input!$I$16+84,Input!$I$15*(1+annual_incr_advtg)^7,IF(B110=Input!$I$16+96,Input!$I$15*(1+annual_incr_advtg)^8,IF(B110=Input!$I$16+108,Input!$I$15*(1+annual_incr_advtg)^9,IF(B110=Input!$I$16+120,Input!$I$15*(1+annual_incr_advtg)^10,0))))))))))))</f>
        <v>0</v>
      </c>
      <c r="K110" s="139">
        <f>IF(Input!$I$19="",0,IF(B110=Input!$I$19,Input!$I$18,IF(B110=Input!$I$19+12,Input!$I$18*(1+annual_incr_other1),IF(B110=Input!$I$19+24,Input!$I$18*(1+annual_incr_other1)^2,IF(B110=Input!$I$19+36,Input!$I$18*(1+annual_incr_other1)^3,IF(B110=Input!$I$19+48,Input!$I$18*(1+annual_incr_other1)^4,IF(B110=Input!$I$19+60,Input!$I$18*(1+annual_incr_other1)^5,IF(B110=Input!$I$19+72,Input!$I$18*(1+annual_incr_other1)^6,IF(B110=Input!$I$19+84,Input!$I$18*(1+annual_incr_other1)^7,IF(B110=Input!$I$19+96,Input!$I$18*(1+annual_incr_other1)^8,IF(B110=Input!$I$19+108,Input!$I$18*(1+annual_incr_other1)^9,IF(B110=Input!$I$19+120,Input!$I$18*(1+annual_incr_other1)^10,0))))))))))))</f>
        <v>0</v>
      </c>
      <c r="L110" s="156">
        <f>IF(OR(Input!$I$22="",B110&lt;Input!$I$22),0,IF(AND(B110&gt;=Input!$I$22,B110&lt;Input!$I$22+12),Input!$I$21,IF(B110=Input!$I$22+12,Input!$I$21*(1+annual_incr_other2),IF(B110=Input!$I$22+24,Input!$I$21*(1+annual_incr_other2)^2,IF(B110=Input!$I$22+36,Input!$I$21*(1+annual_incr_other2)^3,IF(B110=Input!$I$22+48,Input!$I$21*(1+annual_incr_other2)^4,IF(B110=Input!$I$22+60,Input!$I$21*(1+annual_incr_other2)^5,IF(B110=Input!$I$22+72,Input!$I$21*(1+annual_incr_other2)^6,IF(B110=Input!$I$22+84,Input!$I$21*(1+annual_incr_other2)^7,IF(B110=Input!$I$22+96,Input!$I$21*(1+annual_incr_other2)^8,IF(B110=Input!$I$22+108,Input!$I$21*(1+annual_incr_other2)^9,IF(B110=Input!$I$22+120,Input!$I$21*(1+annual_incr_other2)^10,L109))))))))))))</f>
        <v>670.12159363045475</v>
      </c>
      <c r="M110" s="139">
        <f>IF(OR(Input!$I$27="",B110&lt;Input!$I$27),0,E110*mgmt_fee)</f>
        <v>2563.4777032799998</v>
      </c>
      <c r="N110" s="139">
        <f>IF(OR(Input!$I$29="",B110&lt;Input!$I$29),0,E110*repairs_maint)</f>
        <v>3133.1394151199997</v>
      </c>
      <c r="O110" s="149">
        <f>IF(Input!$I$31="",0,IF(OR(B110=Input!$I$31,B110=Input!$I$31+12,B110=Input!$I$31+24,B110=Input!$I$31+36,B110=Input!$I$31+48,B110=Input!$I$31+60,B110=Input!$I$31+72,B110=Input!$I$31+84,B110=Input!$I$31+96,B110=Input!$I$31+108,B110=Input!$I$31+120),E110*other_3,0))</f>
        <v>0</v>
      </c>
      <c r="P110" s="158">
        <f t="shared" si="57"/>
        <v>6947.9486029138188</v>
      </c>
      <c r="Q110" s="159">
        <f t="shared" si="58"/>
        <v>277882.90731708618</v>
      </c>
      <c r="R110" s="160"/>
      <c r="S110" s="161">
        <f>IF(AND(leveraged_property,B110&lt;=amort_period),-IPMT(interest_rate/12,B110,amort_period,loan_amount),0)</f>
        <v>37133.018170573007</v>
      </c>
      <c r="T110" s="149">
        <f t="shared" si="59"/>
        <v>16806.936957392223</v>
      </c>
      <c r="U110" s="149">
        <f>IF(AND(leveraged_property,B110&lt;=amort_period),-PMT(interest_rate/12,amort_period,loan_amount),0)</f>
        <v>53939.95512796523</v>
      </c>
      <c r="V110" s="149">
        <f t="shared" si="81"/>
        <v>8084942.4820767194</v>
      </c>
      <c r="W110" s="160"/>
      <c r="X110" s="149">
        <f t="shared" si="82"/>
        <v>127430.53202680664</v>
      </c>
      <c r="Y110" s="162">
        <f t="shared" si="83"/>
        <v>30583327.686433636</v>
      </c>
      <c r="Z110" s="156">
        <f t="shared" si="71"/>
        <v>38711739.683707118</v>
      </c>
      <c r="AA110" s="163">
        <f t="shared" ca="1" si="72"/>
        <v>38711739.683707118</v>
      </c>
      <c r="AB110" s="160"/>
      <c r="AC110" s="164">
        <f>Input!$C$25/12</f>
        <v>26538.461538461535</v>
      </c>
      <c r="AD110" s="139">
        <f t="shared" si="73"/>
        <v>214211.42760805166</v>
      </c>
      <c r="AE110" s="149">
        <f t="shared" si="74"/>
        <v>64263.428282415494</v>
      </c>
      <c r="AF110" s="139">
        <f ca="1">IF(AA110=0,0,AA110-(total_initial_cost-SUM($AC$5:AC110)))</f>
        <v>20824816.606784038</v>
      </c>
      <c r="AG110" s="139">
        <f t="shared" ca="1" si="75"/>
        <v>4164963.3213568078</v>
      </c>
      <c r="AH110" s="149">
        <f t="shared" ca="1" si="63"/>
        <v>34546776.362350307</v>
      </c>
      <c r="AI110" s="103"/>
      <c r="AJ110" s="165">
        <f t="shared" ca="1" si="76"/>
        <v>13846776.362350307</v>
      </c>
      <c r="AK110" s="165">
        <f t="shared" ca="1" si="66"/>
        <v>15831293.872648409</v>
      </c>
      <c r="AL110" s="300">
        <f t="shared" ca="1" si="67"/>
        <v>1.4135083814864651</v>
      </c>
      <c r="AM110" s="300">
        <f t="shared" si="68"/>
        <v>0.22337883706630918</v>
      </c>
      <c r="AN110" s="300">
        <f t="shared" si="69"/>
        <v>0.15213151868010849</v>
      </c>
      <c r="AO110" s="301">
        <f>IF(leveraged_property,SUM(Q99:Q110)/SUM(U99:U110),"N/A")</f>
        <v>4.8651666302023235</v>
      </c>
      <c r="AP110" s="103"/>
      <c r="AQ110" s="149">
        <f t="shared" si="64"/>
        <v>223942.95218912096</v>
      </c>
      <c r="AR110" s="149">
        <f t="shared" ca="1" si="77"/>
        <v>30850740.153819516</v>
      </c>
      <c r="AS110" s="288">
        <f ca="1">IF(down_payment&lt;=0,"N/A",IRR(($AQ$4:AQ109,AR110),))</f>
        <v>1.667082786937682E-2</v>
      </c>
      <c r="AT110" s="290">
        <f t="shared" ca="1" si="78"/>
        <v>0.21945097766514499</v>
      </c>
      <c r="AU110" s="288">
        <f ca="1">IF(down_payment&lt;=0,"N/A",MIRR(($AQ$4:AQ109,AR110),finance_rate,reinvestment_rate))</f>
        <v>1.619796553552133E-2</v>
      </c>
      <c r="AV110" s="290">
        <f t="shared" ca="1" si="79"/>
        <v>0.21266223595365918</v>
      </c>
      <c r="AW110" s="103"/>
      <c r="AX110" s="194" t="str">
        <f t="shared" si="80"/>
        <v/>
      </c>
      <c r="AY110" s="296" t="str">
        <f>IF(AND(B110=$BA$4,OR(down_payment&lt;=0,purchase_date="")),"N/A",IF(B110=$BA$4,XIRR(AX$4:AX110,A$4:A110),""))</f>
        <v/>
      </c>
      <c r="BA110" s="178"/>
    </row>
    <row r="111" spans="1:53">
      <c r="A111" s="137">
        <f t="shared" si="65"/>
        <v>43419</v>
      </c>
      <c r="B111" s="138">
        <f t="shared" si="55"/>
        <v>107</v>
      </c>
      <c r="C111" s="139">
        <f>C110+(C110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1" s="139">
        <f t="shared" si="70"/>
        <v>14991.097680000001</v>
      </c>
      <c r="E111" s="140">
        <f t="shared" si="56"/>
        <v>284830.85592</v>
      </c>
      <c r="F111" s="141"/>
      <c r="G111" s="157">
        <f>IF(Input!$I$7="",0,IF(B111=Input!$I$7,Input!$I$6,IF(B111=Input!$I$7+12,Input!$I$6*(1+annual_incr_proptax),IF(B111=Input!$I$7+24,Input!$I$6*(1+annual_incr_proptax)^2,IF(B111=Input!$I$7+36,Input!$I$6*(1+annual_incr_proptax)^3,IF(B111=Input!$I$7+48,Input!$I$6*(1+annual_incr_proptax)^4,IF(B111=Input!$I$7+60,Input!$I$6*(1+annual_incr_proptax)^5,IF(B111=Input!$I$7+72,Input!$I$6*(1+annual_incr_proptax)^6,IF(B111=Input!$I$7+84,Input!$I$6*(1+annual_incr_proptax)^7,IF(B111=Input!$I$7+96,Input!$I$6*(1+annual_incr_proptax)^8,IF(B111=Input!$I$7+108,Input!$I$6*(1+annual_incr_proptax)^9,IF(B111=Input!$I$7+120,Input!$I$6*(1+annual_incr_proptax)^10,0))))))))))))</f>
        <v>0</v>
      </c>
      <c r="H111" s="139">
        <f>IF(Input!$I$10="",0,IF(B111=Input!$I$10,Input!$I$9,IF(B111=Input!$I$10+12,Input!$I$9*(1+annual_incr_ins),IF(B111=Input!$I$10+24,Input!$I$9*(1+annual_incr_ins)^2,IF(B111=Input!$I$10+36,Input!$I$9*(1+annual_incr_ins)^3,IF(B111=Input!$I$10+48,Input!$I$9*(1+annual_incr_ins)^4,IF(B111=Input!$I$10+60,Input!$I$9*(1+annual_incr_ins)^5,IF(B111=Input!$I$10+72,Input!$I$9*(1+annual_incr_ins)^6,IF(B111=Input!$I$10+84,Input!$I$9*(1+annual_incr_ins)^7,IF(B111=Input!$I$10+96,Input!$I$9*(1+annual_incr_ins)^8,IF(B111=Input!$I$10+108,Input!$I$9*(1+annual_incr_ins)^9,IF(B111=Input!$I$10+120,Input!$I$9*(1+annual_incr_ins)^10,0))))))))))))</f>
        <v>0</v>
      </c>
      <c r="I111" s="139">
        <f>IF(OR(Input!$I$13="",B111&lt;Input!$I$13),0,IF(AND(B111&gt;=Input!$I$13,B111&lt;Input!$I$13+12),Input!$I$12,IF(B111=Input!$I$13+12,Input!$I$12*(1+annual_incr_util),IF(B111=Input!$I$13+24,Input!$I$12*(1+annual_incr_util)^2,IF(B111=Input!$I$13+36,Input!$I$12*(1+annual_incr_util)^3,IF(B111=Input!$I$13+48,Input!$I$12*(1+annual_incr_util)^4,IF(B111=Input!$I$13+60,Input!$I$12*(1+annual_incr_util)^5,IF(B111=Input!$I$13+72,Input!$I$12*(1+annual_incr_util)^6,IF(B111=Input!$I$13+84,Input!$I$12*(1+annual_incr_util)^7,IF(B111=Input!$I$13+96,Input!$I$12*(1+annual_incr_util)^8,IF(B111=Input!$I$13+108,Input!$I$12*(1+annual_incr_util)^9,IF(B111=Input!$I$13+120,Input!$I$12*(1+annual_incr_util)^10,I110))))))))))))</f>
        <v>581.20989088336523</v>
      </c>
      <c r="J111" s="139">
        <f>IF(Input!$I$16="",0,IF(B111=Input!$I$16,Input!$I$15,IF(B111=Input!$I$16+12,Input!$I$15*(1+annual_incr_advtg),IF(B111=Input!$I$16+24,Input!$I$15*(1+annual_incr_advtg)^2,IF(B111=Input!$I$16+36,Input!$I$15*(1+annual_incr_advtg)^3,IF(B111=Input!$I$16+48,Input!$I$15*(1+annual_incr_advtg)^4,IF(B111=Input!$I$16+60,Input!$I$15*(1+annual_incr_advtg)^5,IF(B111=Input!$I$16+72,Input!$I$15*(1+annual_incr_advtg)^6,IF(B111=Input!$I$16+84,Input!$I$15*(1+annual_incr_advtg)^7,IF(B111=Input!$I$16+96,Input!$I$15*(1+annual_incr_advtg)^8,IF(B111=Input!$I$16+108,Input!$I$15*(1+annual_incr_advtg)^9,IF(B111=Input!$I$16+120,Input!$I$15*(1+annual_incr_advtg)^10,0))))))))))))</f>
        <v>0</v>
      </c>
      <c r="K111" s="139">
        <f>IF(Input!$I$19="",0,IF(B111=Input!$I$19,Input!$I$18,IF(B111=Input!$I$19+12,Input!$I$18*(1+annual_incr_other1),IF(B111=Input!$I$19+24,Input!$I$18*(1+annual_incr_other1)^2,IF(B111=Input!$I$19+36,Input!$I$18*(1+annual_incr_other1)^3,IF(B111=Input!$I$19+48,Input!$I$18*(1+annual_incr_other1)^4,IF(B111=Input!$I$19+60,Input!$I$18*(1+annual_incr_other1)^5,IF(B111=Input!$I$19+72,Input!$I$18*(1+annual_incr_other1)^6,IF(B111=Input!$I$19+84,Input!$I$18*(1+annual_incr_other1)^7,IF(B111=Input!$I$19+96,Input!$I$18*(1+annual_incr_other1)^8,IF(B111=Input!$I$19+108,Input!$I$18*(1+annual_incr_other1)^9,IF(B111=Input!$I$19+120,Input!$I$18*(1+annual_incr_other1)^10,0))))))))))))</f>
        <v>0</v>
      </c>
      <c r="L111" s="156">
        <f>IF(OR(Input!$I$22="",B111&lt;Input!$I$22),0,IF(AND(B111&gt;=Input!$I$22,B111&lt;Input!$I$22+12),Input!$I$21,IF(B111=Input!$I$22+12,Input!$I$21*(1+annual_incr_other2),IF(B111=Input!$I$22+24,Input!$I$21*(1+annual_incr_other2)^2,IF(B111=Input!$I$22+36,Input!$I$21*(1+annual_incr_other2)^3,IF(B111=Input!$I$22+48,Input!$I$21*(1+annual_incr_other2)^4,IF(B111=Input!$I$22+60,Input!$I$21*(1+annual_incr_other2)^5,IF(B111=Input!$I$22+72,Input!$I$21*(1+annual_incr_other2)^6,IF(B111=Input!$I$22+84,Input!$I$21*(1+annual_incr_other2)^7,IF(B111=Input!$I$22+96,Input!$I$21*(1+annual_incr_other2)^8,IF(B111=Input!$I$22+108,Input!$I$21*(1+annual_incr_other2)^9,IF(B111=Input!$I$22+120,Input!$I$21*(1+annual_incr_other2)^10,L110))))))))))))</f>
        <v>670.12159363045475</v>
      </c>
      <c r="M111" s="139">
        <f>IF(OR(Input!$I$27="",B111&lt;Input!$I$27),0,E111*mgmt_fee)</f>
        <v>2563.4777032799998</v>
      </c>
      <c r="N111" s="139">
        <f>IF(OR(Input!$I$29="",B111&lt;Input!$I$29),0,E111*repairs_maint)</f>
        <v>3133.1394151199997</v>
      </c>
      <c r="O111" s="149">
        <f>IF(Input!$I$31="",0,IF(OR(B111=Input!$I$31,B111=Input!$I$31+12,B111=Input!$I$31+24,B111=Input!$I$31+36,B111=Input!$I$31+48,B111=Input!$I$31+60,B111=Input!$I$31+72,B111=Input!$I$31+84,B111=Input!$I$31+96,B111=Input!$I$31+108,B111=Input!$I$31+120),E111*other_3,0))</f>
        <v>0</v>
      </c>
      <c r="P111" s="158">
        <f t="shared" si="57"/>
        <v>6947.9486029138188</v>
      </c>
      <c r="Q111" s="159">
        <f t="shared" si="58"/>
        <v>277882.90731708618</v>
      </c>
      <c r="R111" s="160"/>
      <c r="S111" s="161">
        <f>IF(AND(leveraged_property,B111&lt;=amort_period),-IPMT(interest_rate/12,B111,amort_period,loan_amount),0)</f>
        <v>37055.98637618497</v>
      </c>
      <c r="T111" s="149">
        <f t="shared" si="59"/>
        <v>16883.968751780259</v>
      </c>
      <c r="U111" s="149">
        <f>IF(AND(leveraged_property,B111&lt;=amort_period),-PMT(interest_rate/12,amort_period,loan_amount),0)</f>
        <v>53939.95512796523</v>
      </c>
      <c r="V111" s="149">
        <f t="shared" si="81"/>
        <v>8068058.5133249387</v>
      </c>
      <c r="W111" s="160"/>
      <c r="X111" s="149">
        <f t="shared" si="82"/>
        <v>127430.53202680664</v>
      </c>
      <c r="Y111" s="162">
        <f t="shared" si="83"/>
        <v>30705660.99717937</v>
      </c>
      <c r="Z111" s="156">
        <f t="shared" si="71"/>
        <v>38711311.975371592</v>
      </c>
      <c r="AA111" s="163">
        <f t="shared" ca="1" si="72"/>
        <v>38711311.975371592</v>
      </c>
      <c r="AB111" s="160"/>
      <c r="AC111" s="164">
        <f>Input!$C$25/12</f>
        <v>26538.461538461535</v>
      </c>
      <c r="AD111" s="139">
        <f t="shared" si="73"/>
        <v>214288.45940243968</v>
      </c>
      <c r="AE111" s="149">
        <f t="shared" si="74"/>
        <v>64286.537820731901</v>
      </c>
      <c r="AF111" s="139">
        <f ca="1">IF(AA111=0,0,AA111-(total_initial_cost-SUM($AC$5:AC111)))</f>
        <v>20850927.359986972</v>
      </c>
      <c r="AG111" s="139">
        <f t="shared" ca="1" si="75"/>
        <v>4170185.4719973947</v>
      </c>
      <c r="AH111" s="149">
        <f t="shared" ca="1" si="63"/>
        <v>34541126.503374197</v>
      </c>
      <c r="AI111" s="103"/>
      <c r="AJ111" s="165">
        <f t="shared" ca="1" si="76"/>
        <v>13841126.503374197</v>
      </c>
      <c r="AK111" s="165">
        <f t="shared" ca="1" si="66"/>
        <v>15854641.417105641</v>
      </c>
      <c r="AL111" s="300">
        <f t="shared" ca="1" si="67"/>
        <v>1.4155929836701466</v>
      </c>
      <c r="AM111" s="300">
        <f t="shared" si="68"/>
        <v>0.22699699127614481</v>
      </c>
      <c r="AN111" s="300">
        <f t="shared" si="69"/>
        <v>0.15408916733470554</v>
      </c>
      <c r="AO111" s="301">
        <f>IF(leveraged_property,SUM(Q100:Q111)/SUM(U100:U111),"N/A")</f>
        <v>4.9277722427054957</v>
      </c>
      <c r="AP111" s="103"/>
      <c r="AQ111" s="149">
        <f t="shared" si="64"/>
        <v>223942.95218912096</v>
      </c>
      <c r="AR111" s="149">
        <f t="shared" ca="1" si="77"/>
        <v>30867196.414235771</v>
      </c>
      <c r="AS111" s="288">
        <f ca="1">IF(down_payment&lt;=0,"N/A",IRR(($AQ$4:AQ110,AR111),))</f>
        <v>1.6615190681819082E-2</v>
      </c>
      <c r="AT111" s="290">
        <f t="shared" ca="1" si="78"/>
        <v>0.21865040697547444</v>
      </c>
      <c r="AU111" s="288">
        <f ca="1">IF(down_payment&lt;=0,"N/A",MIRR(($AQ$4:AQ110,AR111),finance_rate,reinvestment_rate))</f>
        <v>1.6153388999808227E-2</v>
      </c>
      <c r="AV111" s="290">
        <f t="shared" ca="1" si="79"/>
        <v>0.21202405429895133</v>
      </c>
      <c r="AW111" s="103"/>
      <c r="AX111" s="194" t="str">
        <f t="shared" si="80"/>
        <v/>
      </c>
      <c r="AY111" s="296" t="str">
        <f>IF(AND(B111=$BA$4,OR(down_payment&lt;=0,purchase_date="")),"N/A",IF(B111=$BA$4,XIRR(AX$4:AX111,A$4:A111),""))</f>
        <v/>
      </c>
      <c r="BA111" s="178"/>
    </row>
    <row r="112" spans="1:53">
      <c r="A112" s="181">
        <f t="shared" si="65"/>
        <v>43449</v>
      </c>
      <c r="B112" s="182">
        <f t="shared" si="55"/>
        <v>108</v>
      </c>
      <c r="C112" s="183">
        <f>C111+(C111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2" s="183">
        <f t="shared" si="70"/>
        <v>14991.097680000001</v>
      </c>
      <c r="E112" s="184">
        <f t="shared" si="56"/>
        <v>284830.85592</v>
      </c>
      <c r="F112" s="141"/>
      <c r="G112" s="185">
        <f>IF(Input!$I$7="",0,IF(B112=Input!$I$7,Input!$I$6,IF(B112=Input!$I$7+12,Input!$I$6*(1+annual_incr_proptax),IF(B112=Input!$I$7+24,Input!$I$6*(1+annual_incr_proptax)^2,IF(B112=Input!$I$7+36,Input!$I$6*(1+annual_incr_proptax)^3,IF(B112=Input!$I$7+48,Input!$I$6*(1+annual_incr_proptax)^4,IF(B112=Input!$I$7+60,Input!$I$6*(1+annual_incr_proptax)^5,IF(B112=Input!$I$7+72,Input!$I$6*(1+annual_incr_proptax)^6,IF(B112=Input!$I$7+84,Input!$I$6*(1+annual_incr_proptax)^7,IF(B112=Input!$I$7+96,Input!$I$6*(1+annual_incr_proptax)^8,IF(B112=Input!$I$7+108,Input!$I$6*(1+annual_incr_proptax)^9,IF(B112=Input!$I$7+120,Input!$I$6*(1+annual_incr_proptax)^10,0))))))))))))</f>
        <v>0</v>
      </c>
      <c r="H112" s="183">
        <f>IF(Input!$I$10="",0,IF(B112=Input!$I$10,Input!$I$9,IF(B112=Input!$I$10+12,Input!$I$9*(1+annual_incr_ins),IF(B112=Input!$I$10+24,Input!$I$9*(1+annual_incr_ins)^2,IF(B112=Input!$I$10+36,Input!$I$9*(1+annual_incr_ins)^3,IF(B112=Input!$I$10+48,Input!$I$9*(1+annual_incr_ins)^4,IF(B112=Input!$I$10+60,Input!$I$9*(1+annual_incr_ins)^5,IF(B112=Input!$I$10+72,Input!$I$9*(1+annual_incr_ins)^6,IF(B112=Input!$I$10+84,Input!$I$9*(1+annual_incr_ins)^7,IF(B112=Input!$I$10+96,Input!$I$9*(1+annual_incr_ins)^8,IF(B112=Input!$I$10+108,Input!$I$9*(1+annual_incr_ins)^9,IF(B112=Input!$I$10+120,Input!$I$9*(1+annual_incr_ins)^10,0))))))))))))</f>
        <v>0</v>
      </c>
      <c r="I112" s="183">
        <f>IF(OR(Input!$I$13="",B112&lt;Input!$I$13),0,IF(AND(B112&gt;=Input!$I$13,B112&lt;Input!$I$13+12),Input!$I$12,IF(B112=Input!$I$13+12,Input!$I$12*(1+annual_incr_util),IF(B112=Input!$I$13+24,Input!$I$12*(1+annual_incr_util)^2,IF(B112=Input!$I$13+36,Input!$I$12*(1+annual_incr_util)^3,IF(B112=Input!$I$13+48,Input!$I$12*(1+annual_incr_util)^4,IF(B112=Input!$I$13+60,Input!$I$12*(1+annual_incr_util)^5,IF(B112=Input!$I$13+72,Input!$I$12*(1+annual_incr_util)^6,IF(B112=Input!$I$13+84,Input!$I$12*(1+annual_incr_util)^7,IF(B112=Input!$I$13+96,Input!$I$12*(1+annual_incr_util)^8,IF(B112=Input!$I$13+108,Input!$I$12*(1+annual_incr_util)^9,IF(B112=Input!$I$13+120,Input!$I$12*(1+annual_incr_util)^10,I111))))))))))))</f>
        <v>581.20989088336523</v>
      </c>
      <c r="J112" s="183">
        <f>IF(Input!$I$16="",0,IF(B112=Input!$I$16,Input!$I$15,IF(B112=Input!$I$16+12,Input!$I$15*(1+annual_incr_advtg),IF(B112=Input!$I$16+24,Input!$I$15*(1+annual_incr_advtg)^2,IF(B112=Input!$I$16+36,Input!$I$15*(1+annual_incr_advtg)^3,IF(B112=Input!$I$16+48,Input!$I$15*(1+annual_incr_advtg)^4,IF(B112=Input!$I$16+60,Input!$I$15*(1+annual_incr_advtg)^5,IF(B112=Input!$I$16+72,Input!$I$15*(1+annual_incr_advtg)^6,IF(B112=Input!$I$16+84,Input!$I$15*(1+annual_incr_advtg)^7,IF(B112=Input!$I$16+96,Input!$I$15*(1+annual_incr_advtg)^8,IF(B112=Input!$I$16+108,Input!$I$15*(1+annual_incr_advtg)^9,IF(B112=Input!$I$16+120,Input!$I$15*(1+annual_incr_advtg)^10,0))))))))))))</f>
        <v>0</v>
      </c>
      <c r="K112" s="183">
        <f>IF(Input!$I$19="",0,IF(B112=Input!$I$19,Input!$I$18,IF(B112=Input!$I$19+12,Input!$I$18*(1+annual_incr_other1),IF(B112=Input!$I$19+24,Input!$I$18*(1+annual_incr_other1)^2,IF(B112=Input!$I$19+36,Input!$I$18*(1+annual_incr_other1)^3,IF(B112=Input!$I$19+48,Input!$I$18*(1+annual_incr_other1)^4,IF(B112=Input!$I$19+60,Input!$I$18*(1+annual_incr_other1)^5,IF(B112=Input!$I$19+72,Input!$I$18*(1+annual_incr_other1)^6,IF(B112=Input!$I$19+84,Input!$I$18*(1+annual_incr_other1)^7,IF(B112=Input!$I$19+96,Input!$I$18*(1+annual_incr_other1)^8,IF(B112=Input!$I$19+108,Input!$I$18*(1+annual_incr_other1)^9,IF(B112=Input!$I$19+120,Input!$I$18*(1+annual_incr_other1)^10,0))))))))))))</f>
        <v>0</v>
      </c>
      <c r="L112" s="183">
        <f>IF(OR(Input!$I$22="",B112&lt;Input!$I$22),0,IF(AND(B112&gt;=Input!$I$22,B112&lt;Input!$I$22+12),Input!$I$21,IF(B112=Input!$I$22+12,Input!$I$21*(1+annual_incr_other2),IF(B112=Input!$I$22+24,Input!$I$21*(1+annual_incr_other2)^2,IF(B112=Input!$I$22+36,Input!$I$21*(1+annual_incr_other2)^3,IF(B112=Input!$I$22+48,Input!$I$21*(1+annual_incr_other2)^4,IF(B112=Input!$I$22+60,Input!$I$21*(1+annual_incr_other2)^5,IF(B112=Input!$I$22+72,Input!$I$21*(1+annual_incr_other2)^6,IF(B112=Input!$I$22+84,Input!$I$21*(1+annual_incr_other2)^7,IF(B112=Input!$I$22+96,Input!$I$21*(1+annual_incr_other2)^8,IF(B112=Input!$I$22+108,Input!$I$21*(1+annual_incr_other2)^9,IF(B112=Input!$I$22+120,Input!$I$21*(1+annual_incr_other2)^10,L111))))))))))))</f>
        <v>670.12159363045475</v>
      </c>
      <c r="M112" s="183">
        <f>IF(OR(Input!$I$27="",B112&lt;Input!$I$27),0,E112*mgmt_fee)</f>
        <v>2563.4777032799998</v>
      </c>
      <c r="N112" s="183">
        <f>IF(OR(Input!$I$29="",B112&lt;Input!$I$29),0,E112*repairs_maint)</f>
        <v>3133.1394151199997</v>
      </c>
      <c r="O112" s="186">
        <f>IF(Input!$I$31="",0,IF(OR(B112=Input!$I$31,B112=Input!$I$31+12,B112=Input!$I$31+24,B112=Input!$I$31+36,B112=Input!$I$31+48,B112=Input!$I$31+60,B112=Input!$I$31+72,B112=Input!$I$31+84,B112=Input!$I$31+96,B112=Input!$I$31+108,B112=Input!$I$31+120),E112*other_3,0))</f>
        <v>0</v>
      </c>
      <c r="P112" s="187">
        <f t="shared" si="57"/>
        <v>6947.9486029138188</v>
      </c>
      <c r="Q112" s="188">
        <f t="shared" si="58"/>
        <v>277882.90731708618</v>
      </c>
      <c r="R112" s="160"/>
      <c r="S112" s="189">
        <f>IF(AND(leveraged_property,B112&lt;=amort_period),-IPMT(interest_rate/12,B112,amort_period,loan_amount),0)</f>
        <v>36978.601519405966</v>
      </c>
      <c r="T112" s="186">
        <f t="shared" si="59"/>
        <v>16961.353608559264</v>
      </c>
      <c r="U112" s="186">
        <f>IF(AND(leveraged_property,B112&lt;=amort_period),-PMT(interest_rate/12,amort_period,loan_amount),0)</f>
        <v>53939.95512796523</v>
      </c>
      <c r="V112" s="186">
        <f t="shared" si="81"/>
        <v>8051097.1597163798</v>
      </c>
      <c r="W112" s="160"/>
      <c r="X112" s="186">
        <f t="shared" si="82"/>
        <v>127430.53202680664</v>
      </c>
      <c r="Y112" s="186">
        <f t="shared" si="83"/>
        <v>30827994.307925105</v>
      </c>
      <c r="Z112" s="183">
        <f t="shared" si="71"/>
        <v>38710884.267036058</v>
      </c>
      <c r="AA112" s="188">
        <f t="shared" ca="1" si="72"/>
        <v>38710884.267036058</v>
      </c>
      <c r="AB112" s="160"/>
      <c r="AC112" s="190">
        <f>Input!$C$25/12</f>
        <v>26538.461538461535</v>
      </c>
      <c r="AD112" s="183">
        <f t="shared" si="73"/>
        <v>214365.84425921869</v>
      </c>
      <c r="AE112" s="186">
        <f t="shared" si="74"/>
        <v>64309.753277765602</v>
      </c>
      <c r="AF112" s="183">
        <f ca="1">IF(AA112=0,0,AA112-(total_initial_cost-SUM($AC$5:AC112)))</f>
        <v>20877038.113189902</v>
      </c>
      <c r="AG112" s="183">
        <f t="shared" ca="1" si="75"/>
        <v>4175407.6226379806</v>
      </c>
      <c r="AH112" s="186">
        <f t="shared" ca="1" si="63"/>
        <v>34535476.644398078</v>
      </c>
      <c r="AI112" s="103"/>
      <c r="AJ112" s="191">
        <f t="shared" ca="1" si="76"/>
        <v>13835476.644398078</v>
      </c>
      <c r="AK112" s="191">
        <f t="shared" ref="AK112:AK124" ca="1" si="84">SUM(Q101:Q112)-SUM(S101:S112)-SUM(AE101:AE112)+AJ112</f>
        <v>15877991.853987329</v>
      </c>
      <c r="AL112" s="298">
        <f t="shared" ref="AL112:AL124" ca="1" si="85">IF(down_payment&lt;=0,"N/A",AK112/down_payment)</f>
        <v>1.4176778441060114</v>
      </c>
      <c r="AM112" s="298">
        <f t="shared" ref="AM112:AM124" si="86">IF(down_payment&lt;=0,"N/A",(SUM(Q101:Q112)-SUM(U101:U112))/down_payment)</f>
        <v>0.23061514548598044</v>
      </c>
      <c r="AN112" s="298">
        <f t="shared" ref="AN112:AN124" si="87">IF(total_initial_cost&lt;=0,"N/A",SUM(Q101:Q112)/total_initial_cost)</f>
        <v>0.15604681598930259</v>
      </c>
      <c r="AO112" s="299">
        <f>IF(leveraged_property,SUM(Q101:Q112)/SUM(U101:U112),"N/A")</f>
        <v>4.9903778552086688</v>
      </c>
      <c r="AP112" s="103"/>
      <c r="AQ112" s="186">
        <f t="shared" si="64"/>
        <v>223942.95218912096</v>
      </c>
      <c r="AR112" s="186">
        <f t="shared" ca="1" si="77"/>
        <v>30883730.059508797</v>
      </c>
      <c r="AS112" s="289">
        <f ca="1">IF(down_payment&lt;=0,"N/A",IRR(($AQ$4:AQ111,AR112),))</f>
        <v>1.6560752660251837E-2</v>
      </c>
      <c r="AT112" s="291">
        <f t="shared" ca="1" si="78"/>
        <v>0.21786755758122323</v>
      </c>
      <c r="AU112" s="289">
        <f ca="1">IF(down_payment&lt;=0,"N/A",MIRR(($AQ$4:AQ111,AR112),finance_rate,reinvestment_rate))</f>
        <v>1.6109989112049306E-2</v>
      </c>
      <c r="AV112" s="291">
        <f t="shared" ca="1" si="79"/>
        <v>0.2114030139656895</v>
      </c>
      <c r="AW112" s="103"/>
      <c r="AX112" s="195" t="str">
        <f t="shared" si="80"/>
        <v/>
      </c>
      <c r="AY112" s="296" t="str">
        <f>IF(AND(B112=$BA$4,OR(down_payment&lt;=0,purchase_date="")),"N/A",IF(B112=$BA$4,XIRR(AX$4:AX112,A$4:A112),""))</f>
        <v/>
      </c>
      <c r="BA112" s="178"/>
    </row>
    <row r="113" spans="1:53">
      <c r="A113" s="137">
        <f t="shared" si="65"/>
        <v>43480</v>
      </c>
      <c r="B113" s="138">
        <f t="shared" si="55"/>
        <v>109</v>
      </c>
      <c r="C113" s="139">
        <f>C112+(C112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3" s="139">
        <f t="shared" si="70"/>
        <v>14991.097680000001</v>
      </c>
      <c r="E113" s="140">
        <f t="shared" si="56"/>
        <v>284830.85592</v>
      </c>
      <c r="F113" s="141"/>
      <c r="G113" s="157">
        <f>IF(Input!$I$7="",0,IF(B113=Input!$I$7,Input!$I$6,IF(B113=Input!$I$7+12,Input!$I$6*(1+annual_incr_proptax),IF(B113=Input!$I$7+24,Input!$I$6*(1+annual_incr_proptax)^2,IF(B113=Input!$I$7+36,Input!$I$6*(1+annual_incr_proptax)^3,IF(B113=Input!$I$7+48,Input!$I$6*(1+annual_incr_proptax)^4,IF(B113=Input!$I$7+60,Input!$I$6*(1+annual_incr_proptax)^5,IF(B113=Input!$I$7+72,Input!$I$6*(1+annual_incr_proptax)^6,IF(B113=Input!$I$7+84,Input!$I$6*(1+annual_incr_proptax)^7,IF(B113=Input!$I$7+96,Input!$I$6*(1+annual_incr_proptax)^8,IF(B113=Input!$I$7+108,Input!$I$6*(1+annual_incr_proptax)^9,IF(B113=Input!$I$7+120,Input!$I$6*(1+annual_incr_proptax)^10,0))))))))))))</f>
        <v>0</v>
      </c>
      <c r="H113" s="139">
        <f>IF(Input!$I$10="",0,IF(B113=Input!$I$10,Input!$I$9,IF(B113=Input!$I$10+12,Input!$I$9*(1+annual_incr_ins),IF(B113=Input!$I$10+24,Input!$I$9*(1+annual_incr_ins)^2,IF(B113=Input!$I$10+36,Input!$I$9*(1+annual_incr_ins)^3,IF(B113=Input!$I$10+48,Input!$I$9*(1+annual_incr_ins)^4,IF(B113=Input!$I$10+60,Input!$I$9*(1+annual_incr_ins)^5,IF(B113=Input!$I$10+72,Input!$I$9*(1+annual_incr_ins)^6,IF(B113=Input!$I$10+84,Input!$I$9*(1+annual_incr_ins)^7,IF(B113=Input!$I$10+96,Input!$I$9*(1+annual_incr_ins)^8,IF(B113=Input!$I$10+108,Input!$I$9*(1+annual_incr_ins)^9,IF(B113=Input!$I$10+120,Input!$I$9*(1+annual_incr_ins)^10,0))))))))))))</f>
        <v>0</v>
      </c>
      <c r="I113" s="139">
        <f>IF(OR(Input!$I$13="",B113&lt;Input!$I$13),0,IF(AND(B113&gt;=Input!$I$13,B113&lt;Input!$I$13+12),Input!$I$12,IF(B113=Input!$I$13+12,Input!$I$12*(1+annual_incr_util),IF(B113=Input!$I$13+24,Input!$I$12*(1+annual_incr_util)^2,IF(B113=Input!$I$13+36,Input!$I$12*(1+annual_incr_util)^3,IF(B113=Input!$I$13+48,Input!$I$12*(1+annual_incr_util)^4,IF(B113=Input!$I$13+60,Input!$I$12*(1+annual_incr_util)^5,IF(B113=Input!$I$13+72,Input!$I$12*(1+annual_incr_util)^6,IF(B113=Input!$I$13+84,Input!$I$12*(1+annual_incr_util)^7,IF(B113=Input!$I$13+96,Input!$I$12*(1+annual_incr_util)^8,IF(B113=Input!$I$13+108,Input!$I$12*(1+annual_incr_util)^9,IF(B113=Input!$I$13+120,Input!$I$12*(1+annual_incr_util)^10,I112))))))))))))</f>
        <v>581.20989088336523</v>
      </c>
      <c r="J113" s="139">
        <f>IF(Input!$I$16="",0,IF(B113=Input!$I$16,Input!$I$15,IF(B113=Input!$I$16+12,Input!$I$15*(1+annual_incr_advtg),IF(B113=Input!$I$16+24,Input!$I$15*(1+annual_incr_advtg)^2,IF(B113=Input!$I$16+36,Input!$I$15*(1+annual_incr_advtg)^3,IF(B113=Input!$I$16+48,Input!$I$15*(1+annual_incr_advtg)^4,IF(B113=Input!$I$16+60,Input!$I$15*(1+annual_incr_advtg)^5,IF(B113=Input!$I$16+72,Input!$I$15*(1+annual_incr_advtg)^6,IF(B113=Input!$I$16+84,Input!$I$15*(1+annual_incr_advtg)^7,IF(B113=Input!$I$16+96,Input!$I$15*(1+annual_incr_advtg)^8,IF(B113=Input!$I$16+108,Input!$I$15*(1+annual_incr_advtg)^9,IF(B113=Input!$I$16+120,Input!$I$15*(1+annual_incr_advtg)^10,0))))))))))))</f>
        <v>0</v>
      </c>
      <c r="K113" s="139">
        <f>IF(Input!$I$19="",0,IF(B113=Input!$I$19,Input!$I$18,IF(B113=Input!$I$19+12,Input!$I$18*(1+annual_incr_other1),IF(B113=Input!$I$19+24,Input!$I$18*(1+annual_incr_other1)^2,IF(B113=Input!$I$19+36,Input!$I$18*(1+annual_incr_other1)^3,IF(B113=Input!$I$19+48,Input!$I$18*(1+annual_incr_other1)^4,IF(B113=Input!$I$19+60,Input!$I$18*(1+annual_incr_other1)^5,IF(B113=Input!$I$19+72,Input!$I$18*(1+annual_incr_other1)^6,IF(B113=Input!$I$19+84,Input!$I$18*(1+annual_incr_other1)^7,IF(B113=Input!$I$19+96,Input!$I$18*(1+annual_incr_other1)^8,IF(B113=Input!$I$19+108,Input!$I$18*(1+annual_incr_other1)^9,IF(B113=Input!$I$19+120,Input!$I$18*(1+annual_incr_other1)^10,0))))))))))))</f>
        <v>0</v>
      </c>
      <c r="L113" s="156">
        <f>IF(OR(Input!$I$22="",B113&lt;Input!$I$22),0,IF(AND(B113&gt;=Input!$I$22,B113&lt;Input!$I$22+12),Input!$I$21,IF(B113=Input!$I$22+12,Input!$I$21*(1+annual_incr_other2),IF(B113=Input!$I$22+24,Input!$I$21*(1+annual_incr_other2)^2,IF(B113=Input!$I$22+36,Input!$I$21*(1+annual_incr_other2)^3,IF(B113=Input!$I$22+48,Input!$I$21*(1+annual_incr_other2)^4,IF(B113=Input!$I$22+60,Input!$I$21*(1+annual_incr_other2)^5,IF(B113=Input!$I$22+72,Input!$I$21*(1+annual_incr_other2)^6,IF(B113=Input!$I$22+84,Input!$I$21*(1+annual_incr_other2)^7,IF(B113=Input!$I$22+96,Input!$I$21*(1+annual_incr_other2)^8,IF(B113=Input!$I$22+108,Input!$I$21*(1+annual_incr_other2)^9,IF(B113=Input!$I$22+120,Input!$I$21*(1+annual_incr_other2)^10,L112))))))))))))</f>
        <v>686.87463347121604</v>
      </c>
      <c r="M113" s="139">
        <f>IF(OR(Input!$I$27="",B113&lt;Input!$I$27),0,E113*mgmt_fee)</f>
        <v>2563.4777032799998</v>
      </c>
      <c r="N113" s="139">
        <f>IF(OR(Input!$I$29="",B113&lt;Input!$I$29),0,E113*repairs_maint)</f>
        <v>3133.1394151199997</v>
      </c>
      <c r="O113" s="149">
        <f>IF(Input!$I$31="",0,IF(OR(B113=Input!$I$31,B113=Input!$I$31+12,B113=Input!$I$31+24,B113=Input!$I$31+36,B113=Input!$I$31+48,B113=Input!$I$31+60,B113=Input!$I$31+72,B113=Input!$I$31+84,B113=Input!$I$31+96,B113=Input!$I$31+108,B113=Input!$I$31+120),E113*other_3,0))</f>
        <v>0</v>
      </c>
      <c r="P113" s="158">
        <f t="shared" si="57"/>
        <v>6964.7016427545805</v>
      </c>
      <c r="Q113" s="159">
        <f t="shared" si="58"/>
        <v>277866.1542772454</v>
      </c>
      <c r="R113" s="160"/>
      <c r="S113" s="161">
        <f>IF(AND(leveraged_property,B113&lt;=amort_period),-IPMT(interest_rate/12,B113,amort_period,loan_amount),0)</f>
        <v>36900.861982033406</v>
      </c>
      <c r="T113" s="149">
        <f t="shared" si="59"/>
        <v>17039.093145931824</v>
      </c>
      <c r="U113" s="149">
        <f>IF(AND(leveraged_property,B113&lt;=amort_period),-PMT(interest_rate/12,amort_period,loan_amount),0)</f>
        <v>53939.95512796523</v>
      </c>
      <c r="V113" s="149">
        <f t="shared" si="81"/>
        <v>8034058.0665704478</v>
      </c>
      <c r="W113" s="160"/>
      <c r="X113" s="149">
        <f t="shared" si="82"/>
        <v>133802.05862814697</v>
      </c>
      <c r="Y113" s="162">
        <f t="shared" si="83"/>
        <v>30956444.284208126</v>
      </c>
      <c r="Z113" s="156">
        <f t="shared" si="71"/>
        <v>39279885.379943833</v>
      </c>
      <c r="AA113" s="163">
        <f t="shared" ca="1" si="72"/>
        <v>39279885.379943833</v>
      </c>
      <c r="AB113" s="160"/>
      <c r="AC113" s="164">
        <f>Input!$C$25/12</f>
        <v>26538.461538461535</v>
      </c>
      <c r="AD113" s="139">
        <f t="shared" si="73"/>
        <v>214426.83075675045</v>
      </c>
      <c r="AE113" s="149">
        <f t="shared" si="74"/>
        <v>64328.049227025134</v>
      </c>
      <c r="AF113" s="139">
        <f ca="1">IF(AA113=0,0,AA113-(total_initial_cost-SUM($AC$5:AC113)))</f>
        <v>21472577.687636137</v>
      </c>
      <c r="AG113" s="139">
        <f t="shared" ca="1" si="75"/>
        <v>4294515.5375272278</v>
      </c>
      <c r="AH113" s="149">
        <f t="shared" ca="1" si="63"/>
        <v>34985369.842416607</v>
      </c>
      <c r="AI113" s="103"/>
      <c r="AJ113" s="165">
        <f t="shared" ca="1" si="76"/>
        <v>14285369.842416607</v>
      </c>
      <c r="AK113" s="165">
        <f t="shared" ca="1" si="84"/>
        <v>16328497.391092442</v>
      </c>
      <c r="AL113" s="300">
        <f t="shared" ca="1" si="85"/>
        <v>1.457901552776111</v>
      </c>
      <c r="AM113" s="300">
        <f t="shared" si="86"/>
        <v>0.23061201621971539</v>
      </c>
      <c r="AN113" s="300">
        <f t="shared" si="87"/>
        <v>0.15604512285972924</v>
      </c>
      <c r="AO113" s="301">
        <f>IF(leveraged_property,SUM(Q102:Q113)/SUM(U102:U113),"N/A")</f>
        <v>4.9903237089175363</v>
      </c>
      <c r="AP113" s="103"/>
      <c r="AQ113" s="149">
        <f t="shared" si="64"/>
        <v>223926.19914928018</v>
      </c>
      <c r="AR113" s="149">
        <f t="shared" ca="1" si="77"/>
        <v>31469753.512522668</v>
      </c>
      <c r="AS113" s="288">
        <f ca="1">IF(down_payment&lt;=0,"N/A",IRR(($AQ$4:AQ112,AR113),))</f>
        <v>1.6620602633592704E-2</v>
      </c>
      <c r="AT113" s="290">
        <f t="shared" ca="1" si="78"/>
        <v>0.21872825909179228</v>
      </c>
      <c r="AU113" s="288">
        <f ca="1">IF(down_payment&lt;=0,"N/A",MIRR(($AQ$4:AQ112,AR113),finance_rate,reinvestment_rate))</f>
        <v>1.6150757431135254E-2</v>
      </c>
      <c r="AV113" s="290">
        <f t="shared" ca="1" si="79"/>
        <v>0.2119863889723943</v>
      </c>
      <c r="AW113" s="103"/>
      <c r="AX113" s="194" t="str">
        <f t="shared" si="80"/>
        <v/>
      </c>
      <c r="AY113" s="296" t="str">
        <f>IF(AND(B113=$BA$4,OR(down_payment&lt;=0,purchase_date="")),"N/A",IF(B113=$BA$4,XIRR(AX$4:AX113,A$4:A113),""))</f>
        <v/>
      </c>
      <c r="BA113" s="178"/>
    </row>
    <row r="114" spans="1:53">
      <c r="A114" s="137">
        <f t="shared" si="65"/>
        <v>43511</v>
      </c>
      <c r="B114" s="138">
        <f t="shared" si="55"/>
        <v>110</v>
      </c>
      <c r="C114" s="139">
        <f>C113+(C113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4" s="139">
        <f t="shared" si="70"/>
        <v>14991.097680000001</v>
      </c>
      <c r="E114" s="140">
        <f t="shared" si="56"/>
        <v>284830.85592</v>
      </c>
      <c r="F114" s="141"/>
      <c r="G114" s="157">
        <f>IF(Input!$I$7="",0,IF(B114=Input!$I$7,Input!$I$6,IF(B114=Input!$I$7+12,Input!$I$6*(1+annual_incr_proptax),IF(B114=Input!$I$7+24,Input!$I$6*(1+annual_incr_proptax)^2,IF(B114=Input!$I$7+36,Input!$I$6*(1+annual_incr_proptax)^3,IF(B114=Input!$I$7+48,Input!$I$6*(1+annual_incr_proptax)^4,IF(B114=Input!$I$7+60,Input!$I$6*(1+annual_incr_proptax)^5,IF(B114=Input!$I$7+72,Input!$I$6*(1+annual_incr_proptax)^6,IF(B114=Input!$I$7+84,Input!$I$6*(1+annual_incr_proptax)^7,IF(B114=Input!$I$7+96,Input!$I$6*(1+annual_incr_proptax)^8,IF(B114=Input!$I$7+108,Input!$I$6*(1+annual_incr_proptax)^9,IF(B114=Input!$I$7+120,Input!$I$6*(1+annual_incr_proptax)^10,0))))))))))))</f>
        <v>64056.175603084725</v>
      </c>
      <c r="H114" s="139">
        <f>IF(Input!$I$10="",0,IF(B114=Input!$I$10,Input!$I$9,IF(B114=Input!$I$10+12,Input!$I$9*(1+annual_incr_ins),IF(B114=Input!$I$10+24,Input!$I$9*(1+annual_incr_ins)^2,IF(B114=Input!$I$10+36,Input!$I$9*(1+annual_incr_ins)^3,IF(B114=Input!$I$10+48,Input!$I$9*(1+annual_incr_ins)^4,IF(B114=Input!$I$10+60,Input!$I$9*(1+annual_incr_ins)^5,IF(B114=Input!$I$10+72,Input!$I$9*(1+annual_incr_ins)^6,IF(B114=Input!$I$10+84,Input!$I$9*(1+annual_incr_ins)^7,IF(B114=Input!$I$10+96,Input!$I$9*(1+annual_incr_ins)^8,IF(B114=Input!$I$10+108,Input!$I$9*(1+annual_incr_ins)^9,IF(B114=Input!$I$10+120,Input!$I$9*(1+annual_incr_ins)^10,0))))))))))))</f>
        <v>0</v>
      </c>
      <c r="I114" s="139">
        <f>IF(OR(Input!$I$13="",B114&lt;Input!$I$13),0,IF(AND(B114&gt;=Input!$I$13,B114&lt;Input!$I$13+12),Input!$I$12,IF(B114=Input!$I$13+12,Input!$I$12*(1+annual_incr_util),IF(B114=Input!$I$13+24,Input!$I$12*(1+annual_incr_util)^2,IF(B114=Input!$I$13+36,Input!$I$12*(1+annual_incr_util)^3,IF(B114=Input!$I$13+48,Input!$I$12*(1+annual_incr_util)^4,IF(B114=Input!$I$13+60,Input!$I$12*(1+annual_incr_util)^5,IF(B114=Input!$I$13+72,Input!$I$12*(1+annual_incr_util)^6,IF(B114=Input!$I$13+84,Input!$I$12*(1+annual_incr_util)^7,IF(B114=Input!$I$13+96,Input!$I$12*(1+annual_incr_util)^8,IF(B114=Input!$I$13+108,Input!$I$12*(1+annual_incr_util)^9,IF(B114=Input!$I$13+120,Input!$I$12*(1+annual_incr_util)^10,I113))))))))))))</f>
        <v>581.20989088336523</v>
      </c>
      <c r="J114" s="139">
        <f>IF(Input!$I$16="",0,IF(B114=Input!$I$16,Input!$I$15,IF(B114=Input!$I$16+12,Input!$I$15*(1+annual_incr_advtg),IF(B114=Input!$I$16+24,Input!$I$15*(1+annual_incr_advtg)^2,IF(B114=Input!$I$16+36,Input!$I$15*(1+annual_incr_advtg)^3,IF(B114=Input!$I$16+48,Input!$I$15*(1+annual_incr_advtg)^4,IF(B114=Input!$I$16+60,Input!$I$15*(1+annual_incr_advtg)^5,IF(B114=Input!$I$16+72,Input!$I$15*(1+annual_incr_advtg)^6,IF(B114=Input!$I$16+84,Input!$I$15*(1+annual_incr_advtg)^7,IF(B114=Input!$I$16+96,Input!$I$15*(1+annual_incr_advtg)^8,IF(B114=Input!$I$16+108,Input!$I$15*(1+annual_incr_advtg)^9,IF(B114=Input!$I$16+120,Input!$I$15*(1+annual_incr_advtg)^10,0))))))))))))</f>
        <v>0</v>
      </c>
      <c r="K114" s="139">
        <f>IF(Input!$I$19="",0,IF(B114=Input!$I$19,Input!$I$18,IF(B114=Input!$I$19+12,Input!$I$18*(1+annual_incr_other1),IF(B114=Input!$I$19+24,Input!$I$18*(1+annual_incr_other1)^2,IF(B114=Input!$I$19+36,Input!$I$18*(1+annual_incr_other1)^3,IF(B114=Input!$I$19+48,Input!$I$18*(1+annual_incr_other1)^4,IF(B114=Input!$I$19+60,Input!$I$18*(1+annual_incr_other1)^5,IF(B114=Input!$I$19+72,Input!$I$18*(1+annual_incr_other1)^6,IF(B114=Input!$I$19+84,Input!$I$18*(1+annual_incr_other1)^7,IF(B114=Input!$I$19+96,Input!$I$18*(1+annual_incr_other1)^8,IF(B114=Input!$I$19+108,Input!$I$18*(1+annual_incr_other1)^9,IF(B114=Input!$I$19+120,Input!$I$18*(1+annual_incr_other1)^10,0))))))))))))</f>
        <v>0</v>
      </c>
      <c r="L114" s="156">
        <f>IF(OR(Input!$I$22="",B114&lt;Input!$I$22),0,IF(AND(B114&gt;=Input!$I$22,B114&lt;Input!$I$22+12),Input!$I$21,IF(B114=Input!$I$22+12,Input!$I$21*(1+annual_incr_other2),IF(B114=Input!$I$22+24,Input!$I$21*(1+annual_incr_other2)^2,IF(B114=Input!$I$22+36,Input!$I$21*(1+annual_incr_other2)^3,IF(B114=Input!$I$22+48,Input!$I$21*(1+annual_incr_other2)^4,IF(B114=Input!$I$22+60,Input!$I$21*(1+annual_incr_other2)^5,IF(B114=Input!$I$22+72,Input!$I$21*(1+annual_incr_other2)^6,IF(B114=Input!$I$22+84,Input!$I$21*(1+annual_incr_other2)^7,IF(B114=Input!$I$22+96,Input!$I$21*(1+annual_incr_other2)^8,IF(B114=Input!$I$22+108,Input!$I$21*(1+annual_incr_other2)^9,IF(B114=Input!$I$22+120,Input!$I$21*(1+annual_incr_other2)^10,L113))))))))))))</f>
        <v>686.87463347121604</v>
      </c>
      <c r="M114" s="139">
        <f>IF(OR(Input!$I$27="",B114&lt;Input!$I$27),0,E114*mgmt_fee)</f>
        <v>2563.4777032799998</v>
      </c>
      <c r="N114" s="139">
        <f>IF(OR(Input!$I$29="",B114&lt;Input!$I$29),0,E114*repairs_maint)</f>
        <v>3133.1394151199997</v>
      </c>
      <c r="O114" s="149">
        <f>IF(Input!$I$31="",0,IF(OR(B114=Input!$I$31,B114=Input!$I$31+12,B114=Input!$I$31+24,B114=Input!$I$31+36,B114=Input!$I$31+48,B114=Input!$I$31+60,B114=Input!$I$31+72,B114=Input!$I$31+84,B114=Input!$I$31+96,B114=Input!$I$31+108,B114=Input!$I$31+120),E114*other_3,0))</f>
        <v>3645.8349557760002</v>
      </c>
      <c r="P114" s="158">
        <f t="shared" si="57"/>
        <v>74666.712201615301</v>
      </c>
      <c r="Q114" s="159">
        <f t="shared" si="58"/>
        <v>210164.1437183847</v>
      </c>
      <c r="R114" s="160"/>
      <c r="S114" s="161">
        <f>IF(AND(leveraged_property,B114&lt;=amort_period),-IPMT(interest_rate/12,B114,amort_period,loan_amount),0)</f>
        <v>36822.766138447892</v>
      </c>
      <c r="T114" s="149">
        <f t="shared" si="59"/>
        <v>17117.188989517337</v>
      </c>
      <c r="U114" s="149">
        <f>IF(AND(leveraged_property,B114&lt;=amort_period),-PMT(interest_rate/12,amort_period,loan_amount),0)</f>
        <v>53939.95512796523</v>
      </c>
      <c r="V114" s="149">
        <f t="shared" si="81"/>
        <v>8016940.8775809305</v>
      </c>
      <c r="W114" s="160"/>
      <c r="X114" s="149">
        <f t="shared" si="82"/>
        <v>133802.05862814697</v>
      </c>
      <c r="Y114" s="162">
        <f t="shared" si="83"/>
        <v>31084894.260491148</v>
      </c>
      <c r="Z114" s="156">
        <f t="shared" si="71"/>
        <v>39814545.395788535</v>
      </c>
      <c r="AA114" s="163">
        <f t="shared" ca="1" si="72"/>
        <v>39814545.395788535</v>
      </c>
      <c r="AB114" s="160"/>
      <c r="AC114" s="164">
        <f>Input!$C$25/12</f>
        <v>26538.461538461535</v>
      </c>
      <c r="AD114" s="139">
        <f t="shared" si="73"/>
        <v>146802.91604147528</v>
      </c>
      <c r="AE114" s="149">
        <f t="shared" si="74"/>
        <v>44040.874812442584</v>
      </c>
      <c r="AF114" s="139">
        <f ca="1">IF(AA114=0,0,AA114-(total_initial_cost-SUM($AC$5:AC114)))</f>
        <v>22033776.165019304</v>
      </c>
      <c r="AG114" s="139">
        <f t="shared" ca="1" si="75"/>
        <v>4406755.2330038613</v>
      </c>
      <c r="AH114" s="149">
        <f t="shared" ca="1" si="63"/>
        <v>35407790.162784673</v>
      </c>
      <c r="AI114" s="103"/>
      <c r="AJ114" s="165">
        <f t="shared" ca="1" si="76"/>
        <v>14707790.162784673</v>
      </c>
      <c r="AK114" s="165">
        <f t="shared" ca="1" si="84"/>
        <v>16750016.663940147</v>
      </c>
      <c r="AL114" s="300">
        <f t="shared" ca="1" si="85"/>
        <v>1.4955372021375131</v>
      </c>
      <c r="AM114" s="300">
        <f t="shared" si="86"/>
        <v>0.23041548062614631</v>
      </c>
      <c r="AN114" s="300">
        <f t="shared" si="87"/>
        <v>0.15593878476079331</v>
      </c>
      <c r="AO114" s="301">
        <f>IF(leveraged_property,SUM(Q103:Q114)/SUM(U103:U114),"N/A")</f>
        <v>4.9869230160502669</v>
      </c>
      <c r="AP114" s="103"/>
      <c r="AQ114" s="149">
        <f t="shared" si="64"/>
        <v>156224.18859041948</v>
      </c>
      <c r="AR114" s="149">
        <f t="shared" ca="1" si="77"/>
        <v>31953828.706798028</v>
      </c>
      <c r="AS114" s="288">
        <f ca="1">IF(down_payment&lt;=0,"N/A",IRR(($AQ$4:AQ113,AR114),))</f>
        <v>1.6656924344361387E-2</v>
      </c>
      <c r="AT114" s="290">
        <f t="shared" ca="1" si="78"/>
        <v>0.21925087287394063</v>
      </c>
      <c r="AU114" s="288">
        <f ca="1">IF(down_payment&lt;=0,"N/A",MIRR(($AQ$4:AQ113,AR114),finance_rate,reinvestment_rate))</f>
        <v>1.6174144778230204E-2</v>
      </c>
      <c r="AV114" s="290">
        <f t="shared" ca="1" si="79"/>
        <v>0.21232116687244784</v>
      </c>
      <c r="AW114" s="103"/>
      <c r="AX114" s="194" t="str">
        <f t="shared" si="80"/>
        <v/>
      </c>
      <c r="AY114" s="296" t="str">
        <f>IF(AND(B114=$BA$4,OR(down_payment&lt;=0,purchase_date="")),"N/A",IF(B114=$BA$4,XIRR(AX$4:AX114,A$4:A114),""))</f>
        <v/>
      </c>
      <c r="BA114" s="178"/>
    </row>
    <row r="115" spans="1:53">
      <c r="A115" s="137">
        <f t="shared" si="65"/>
        <v>43539</v>
      </c>
      <c r="B115" s="138">
        <f t="shared" si="55"/>
        <v>111</v>
      </c>
      <c r="C115" s="139">
        <f>C114+(C114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5" s="139">
        <f t="shared" si="70"/>
        <v>14991.097680000001</v>
      </c>
      <c r="E115" s="140">
        <f t="shared" si="56"/>
        <v>284830.85592</v>
      </c>
      <c r="F115" s="141"/>
      <c r="G115" s="157">
        <f>IF(Input!$I$7="",0,IF(B115=Input!$I$7,Input!$I$6,IF(B115=Input!$I$7+12,Input!$I$6*(1+annual_incr_proptax),IF(B115=Input!$I$7+24,Input!$I$6*(1+annual_incr_proptax)^2,IF(B115=Input!$I$7+36,Input!$I$6*(1+annual_incr_proptax)^3,IF(B115=Input!$I$7+48,Input!$I$6*(1+annual_incr_proptax)^4,IF(B115=Input!$I$7+60,Input!$I$6*(1+annual_incr_proptax)^5,IF(B115=Input!$I$7+72,Input!$I$6*(1+annual_incr_proptax)^6,IF(B115=Input!$I$7+84,Input!$I$6*(1+annual_incr_proptax)^7,IF(B115=Input!$I$7+96,Input!$I$6*(1+annual_incr_proptax)^8,IF(B115=Input!$I$7+108,Input!$I$6*(1+annual_incr_proptax)^9,IF(B115=Input!$I$7+120,Input!$I$6*(1+annual_incr_proptax)^10,0))))))))))))</f>
        <v>0</v>
      </c>
      <c r="H115" s="139">
        <f>IF(Input!$I$10="",0,IF(B115=Input!$I$10,Input!$I$9,IF(B115=Input!$I$10+12,Input!$I$9*(1+annual_incr_ins),IF(B115=Input!$I$10+24,Input!$I$9*(1+annual_incr_ins)^2,IF(B115=Input!$I$10+36,Input!$I$9*(1+annual_incr_ins)^3,IF(B115=Input!$I$10+48,Input!$I$9*(1+annual_incr_ins)^4,IF(B115=Input!$I$10+60,Input!$I$9*(1+annual_incr_ins)^5,IF(B115=Input!$I$10+72,Input!$I$9*(1+annual_incr_ins)^6,IF(B115=Input!$I$10+84,Input!$I$9*(1+annual_incr_ins)^7,IF(B115=Input!$I$10+96,Input!$I$9*(1+annual_incr_ins)^8,IF(B115=Input!$I$10+108,Input!$I$9*(1+annual_incr_ins)^9,IF(B115=Input!$I$10+120,Input!$I$9*(1+annual_incr_ins)^10,0))))))))))))</f>
        <v>0</v>
      </c>
      <c r="I115" s="139">
        <f>IF(OR(Input!$I$13="",B115&lt;Input!$I$13),0,IF(AND(B115&gt;=Input!$I$13,B115&lt;Input!$I$13+12),Input!$I$12,IF(B115=Input!$I$13+12,Input!$I$12*(1+annual_incr_util),IF(B115=Input!$I$13+24,Input!$I$12*(1+annual_incr_util)^2,IF(B115=Input!$I$13+36,Input!$I$12*(1+annual_incr_util)^3,IF(B115=Input!$I$13+48,Input!$I$12*(1+annual_incr_util)^4,IF(B115=Input!$I$13+60,Input!$I$12*(1+annual_incr_util)^5,IF(B115=Input!$I$13+72,Input!$I$12*(1+annual_incr_util)^6,IF(B115=Input!$I$13+84,Input!$I$12*(1+annual_incr_util)^7,IF(B115=Input!$I$13+96,Input!$I$12*(1+annual_incr_util)^8,IF(B115=Input!$I$13+108,Input!$I$12*(1+annual_incr_util)^9,IF(B115=Input!$I$13+120,Input!$I$12*(1+annual_incr_util)^10,I114))))))))))))</f>
        <v>581.20989088336523</v>
      </c>
      <c r="J115" s="139">
        <f>IF(Input!$I$16="",0,IF(B115=Input!$I$16,Input!$I$15,IF(B115=Input!$I$16+12,Input!$I$15*(1+annual_incr_advtg),IF(B115=Input!$I$16+24,Input!$I$15*(1+annual_incr_advtg)^2,IF(B115=Input!$I$16+36,Input!$I$15*(1+annual_incr_advtg)^3,IF(B115=Input!$I$16+48,Input!$I$15*(1+annual_incr_advtg)^4,IF(B115=Input!$I$16+60,Input!$I$15*(1+annual_incr_advtg)^5,IF(B115=Input!$I$16+72,Input!$I$15*(1+annual_incr_advtg)^6,IF(B115=Input!$I$16+84,Input!$I$15*(1+annual_incr_advtg)^7,IF(B115=Input!$I$16+96,Input!$I$15*(1+annual_incr_advtg)^8,IF(B115=Input!$I$16+108,Input!$I$15*(1+annual_incr_advtg)^9,IF(B115=Input!$I$16+120,Input!$I$15*(1+annual_incr_advtg)^10,0))))))))))))</f>
        <v>0</v>
      </c>
      <c r="K115" s="139">
        <f>IF(Input!$I$19="",0,IF(B115=Input!$I$19,Input!$I$18,IF(B115=Input!$I$19+12,Input!$I$18*(1+annual_incr_other1),IF(B115=Input!$I$19+24,Input!$I$18*(1+annual_incr_other1)^2,IF(B115=Input!$I$19+36,Input!$I$18*(1+annual_incr_other1)^3,IF(B115=Input!$I$19+48,Input!$I$18*(1+annual_incr_other1)^4,IF(B115=Input!$I$19+60,Input!$I$18*(1+annual_incr_other1)^5,IF(B115=Input!$I$19+72,Input!$I$18*(1+annual_incr_other1)^6,IF(B115=Input!$I$19+84,Input!$I$18*(1+annual_incr_other1)^7,IF(B115=Input!$I$19+96,Input!$I$18*(1+annual_incr_other1)^8,IF(B115=Input!$I$19+108,Input!$I$18*(1+annual_incr_other1)^9,IF(B115=Input!$I$19+120,Input!$I$18*(1+annual_incr_other1)^10,0))))))))))))</f>
        <v>0</v>
      </c>
      <c r="L115" s="156">
        <f>IF(OR(Input!$I$22="",B115&lt;Input!$I$22),0,IF(AND(B115&gt;=Input!$I$22,B115&lt;Input!$I$22+12),Input!$I$21,IF(B115=Input!$I$22+12,Input!$I$21*(1+annual_incr_other2),IF(B115=Input!$I$22+24,Input!$I$21*(1+annual_incr_other2)^2,IF(B115=Input!$I$22+36,Input!$I$21*(1+annual_incr_other2)^3,IF(B115=Input!$I$22+48,Input!$I$21*(1+annual_incr_other2)^4,IF(B115=Input!$I$22+60,Input!$I$21*(1+annual_incr_other2)^5,IF(B115=Input!$I$22+72,Input!$I$21*(1+annual_incr_other2)^6,IF(B115=Input!$I$22+84,Input!$I$21*(1+annual_incr_other2)^7,IF(B115=Input!$I$22+96,Input!$I$21*(1+annual_incr_other2)^8,IF(B115=Input!$I$22+108,Input!$I$21*(1+annual_incr_other2)^9,IF(B115=Input!$I$22+120,Input!$I$21*(1+annual_incr_other2)^10,L114))))))))))))</f>
        <v>686.87463347121604</v>
      </c>
      <c r="M115" s="139">
        <f>IF(OR(Input!$I$27="",B115&lt;Input!$I$27),0,E115*mgmt_fee)</f>
        <v>2563.4777032799998</v>
      </c>
      <c r="N115" s="139">
        <f>IF(OR(Input!$I$29="",B115&lt;Input!$I$29),0,E115*repairs_maint)</f>
        <v>3133.1394151199997</v>
      </c>
      <c r="O115" s="149">
        <f>IF(Input!$I$31="",0,IF(OR(B115=Input!$I$31,B115=Input!$I$31+12,B115=Input!$I$31+24,B115=Input!$I$31+36,B115=Input!$I$31+48,B115=Input!$I$31+60,B115=Input!$I$31+72,B115=Input!$I$31+84,B115=Input!$I$31+96,B115=Input!$I$31+108,B115=Input!$I$31+120),E115*other_3,0))</f>
        <v>0</v>
      </c>
      <c r="P115" s="158">
        <f t="shared" si="57"/>
        <v>6964.7016427545805</v>
      </c>
      <c r="Q115" s="159">
        <f t="shared" si="58"/>
        <v>277866.1542772454</v>
      </c>
      <c r="R115" s="160"/>
      <c r="S115" s="161">
        <f>IF(AND(leveraged_property,B115&lt;=amort_period),-IPMT(interest_rate/12,B115,amort_period,loan_amount),0)</f>
        <v>36744.31235557927</v>
      </c>
      <c r="T115" s="149">
        <f t="shared" si="59"/>
        <v>17195.64277238596</v>
      </c>
      <c r="U115" s="149">
        <f>IF(AND(leveraged_property,B115&lt;=amort_period),-PMT(interest_rate/12,amort_period,loan_amount),0)</f>
        <v>53939.95512796523</v>
      </c>
      <c r="V115" s="149">
        <f t="shared" si="81"/>
        <v>7999745.2348085446</v>
      </c>
      <c r="W115" s="160"/>
      <c r="X115" s="149">
        <f t="shared" si="82"/>
        <v>133802.05862814697</v>
      </c>
      <c r="Y115" s="162">
        <f t="shared" si="83"/>
        <v>31213344.236774169</v>
      </c>
      <c r="Z115" s="156">
        <f t="shared" si="71"/>
        <v>40383546.508696318</v>
      </c>
      <c r="AA115" s="163">
        <f t="shared" ca="1" si="72"/>
        <v>40383546.508696318</v>
      </c>
      <c r="AB115" s="160"/>
      <c r="AC115" s="164">
        <f>Input!$C$25/12</f>
        <v>26538.461538461535</v>
      </c>
      <c r="AD115" s="139">
        <f t="shared" si="73"/>
        <v>214583.38038320458</v>
      </c>
      <c r="AE115" s="149">
        <f t="shared" si="74"/>
        <v>64375.01411496137</v>
      </c>
      <c r="AF115" s="139">
        <f ca="1">IF(AA115=0,0,AA115-(total_initial_cost-SUM($AC$5:AC115)))</f>
        <v>22629315.739465546</v>
      </c>
      <c r="AG115" s="139">
        <f t="shared" ca="1" si="75"/>
        <v>4525863.1478931094</v>
      </c>
      <c r="AH115" s="149">
        <f t="shared" ca="1" si="63"/>
        <v>35857683.360803209</v>
      </c>
      <c r="AI115" s="103"/>
      <c r="AJ115" s="165">
        <f t="shared" ca="1" si="76"/>
        <v>15157683.360803209</v>
      </c>
      <c r="AK115" s="165">
        <f t="shared" ca="1" si="84"/>
        <v>17200528.05242224</v>
      </c>
      <c r="AL115" s="300">
        <f t="shared" ca="1" si="85"/>
        <v>1.5357614332519858</v>
      </c>
      <c r="AM115" s="300">
        <f t="shared" si="86"/>
        <v>0.23041235135988125</v>
      </c>
      <c r="AN115" s="300">
        <f t="shared" si="87"/>
        <v>0.15593709163121994</v>
      </c>
      <c r="AO115" s="301">
        <f>IF(leveraged_property,SUM(Q104:Q115)/SUM(U104:U115),"N/A")</f>
        <v>4.9868688697591343</v>
      </c>
      <c r="AP115" s="103"/>
      <c r="AQ115" s="149">
        <f t="shared" si="64"/>
        <v>223926.19914928018</v>
      </c>
      <c r="AR115" s="149">
        <f t="shared" ca="1" si="77"/>
        <v>32607727.473037053</v>
      </c>
      <c r="AS115" s="288">
        <f ca="1">IF(down_payment&lt;=0,"N/A",IRR(($AQ$4:AQ114,AR115),))</f>
        <v>1.6709430839687449E-2</v>
      </c>
      <c r="AT115" s="290">
        <f t="shared" ca="1" si="78"/>
        <v>0.22000672405569133</v>
      </c>
      <c r="AU115" s="288">
        <f ca="1">IF(down_payment&lt;=0,"N/A",MIRR(($AQ$4:AQ114,AR115),finance_rate,reinvestment_rate))</f>
        <v>1.6209378724776125E-2</v>
      </c>
      <c r="AV115" s="290">
        <f t="shared" ca="1" si="79"/>
        <v>0.21282568282973258</v>
      </c>
      <c r="AW115" s="103"/>
      <c r="AX115" s="194" t="str">
        <f t="shared" si="80"/>
        <v/>
      </c>
      <c r="AY115" s="296" t="str">
        <f>IF(AND(B115=$BA$4,OR(down_payment&lt;=0,purchase_date="")),"N/A",IF(B115=$BA$4,XIRR(AX$4:AX115,A$4:A115),""))</f>
        <v/>
      </c>
      <c r="BA115" s="178"/>
    </row>
    <row r="116" spans="1:53">
      <c r="A116" s="137">
        <f t="shared" si="65"/>
        <v>43570</v>
      </c>
      <c r="B116" s="138">
        <f t="shared" si="55"/>
        <v>112</v>
      </c>
      <c r="C116" s="139">
        <f>C115+(C115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6" s="139">
        <f t="shared" si="70"/>
        <v>14991.097680000001</v>
      </c>
      <c r="E116" s="140">
        <f t="shared" si="56"/>
        <v>284830.85592</v>
      </c>
      <c r="F116" s="141"/>
      <c r="G116" s="157">
        <f>IF(Input!$I$7="",0,IF(B116=Input!$I$7,Input!$I$6,IF(B116=Input!$I$7+12,Input!$I$6*(1+annual_incr_proptax),IF(B116=Input!$I$7+24,Input!$I$6*(1+annual_incr_proptax)^2,IF(B116=Input!$I$7+36,Input!$I$6*(1+annual_incr_proptax)^3,IF(B116=Input!$I$7+48,Input!$I$6*(1+annual_incr_proptax)^4,IF(B116=Input!$I$7+60,Input!$I$6*(1+annual_incr_proptax)^5,IF(B116=Input!$I$7+72,Input!$I$6*(1+annual_incr_proptax)^6,IF(B116=Input!$I$7+84,Input!$I$6*(1+annual_incr_proptax)^7,IF(B116=Input!$I$7+96,Input!$I$6*(1+annual_incr_proptax)^8,IF(B116=Input!$I$7+108,Input!$I$6*(1+annual_incr_proptax)^9,IF(B116=Input!$I$7+120,Input!$I$6*(1+annual_incr_proptax)^10,0))))))))))))</f>
        <v>0</v>
      </c>
      <c r="H116" s="139">
        <f>IF(Input!$I$10="",0,IF(B116=Input!$I$10,Input!$I$9,IF(B116=Input!$I$10+12,Input!$I$9*(1+annual_incr_ins),IF(B116=Input!$I$10+24,Input!$I$9*(1+annual_incr_ins)^2,IF(B116=Input!$I$10+36,Input!$I$9*(1+annual_incr_ins)^3,IF(B116=Input!$I$10+48,Input!$I$9*(1+annual_incr_ins)^4,IF(B116=Input!$I$10+60,Input!$I$9*(1+annual_incr_ins)^5,IF(B116=Input!$I$10+72,Input!$I$9*(1+annual_incr_ins)^6,IF(B116=Input!$I$10+84,Input!$I$9*(1+annual_incr_ins)^7,IF(B116=Input!$I$10+96,Input!$I$9*(1+annual_incr_ins)^8,IF(B116=Input!$I$10+108,Input!$I$9*(1+annual_incr_ins)^9,IF(B116=Input!$I$10+120,Input!$I$9*(1+annual_incr_ins)^10,0))))))))))))</f>
        <v>0</v>
      </c>
      <c r="I116" s="139">
        <f>IF(OR(Input!$I$13="",B116&lt;Input!$I$13),0,IF(AND(B116&gt;=Input!$I$13,B116&lt;Input!$I$13+12),Input!$I$12,IF(B116=Input!$I$13+12,Input!$I$12*(1+annual_incr_util),IF(B116=Input!$I$13+24,Input!$I$12*(1+annual_incr_util)^2,IF(B116=Input!$I$13+36,Input!$I$12*(1+annual_incr_util)^3,IF(B116=Input!$I$13+48,Input!$I$12*(1+annual_incr_util)^4,IF(B116=Input!$I$13+60,Input!$I$12*(1+annual_incr_util)^5,IF(B116=Input!$I$13+72,Input!$I$12*(1+annual_incr_util)^6,IF(B116=Input!$I$13+84,Input!$I$12*(1+annual_incr_util)^7,IF(B116=Input!$I$13+96,Input!$I$12*(1+annual_incr_util)^8,IF(B116=Input!$I$13+108,Input!$I$12*(1+annual_incr_util)^9,IF(B116=Input!$I$13+120,Input!$I$12*(1+annual_incr_util)^10,I115))))))))))))</f>
        <v>600.09921233707462</v>
      </c>
      <c r="J116" s="139">
        <f>IF(Input!$I$16="",0,IF(B116=Input!$I$16,Input!$I$15,IF(B116=Input!$I$16+12,Input!$I$15*(1+annual_incr_advtg),IF(B116=Input!$I$16+24,Input!$I$15*(1+annual_incr_advtg)^2,IF(B116=Input!$I$16+36,Input!$I$15*(1+annual_incr_advtg)^3,IF(B116=Input!$I$16+48,Input!$I$15*(1+annual_incr_advtg)^4,IF(B116=Input!$I$16+60,Input!$I$15*(1+annual_incr_advtg)^5,IF(B116=Input!$I$16+72,Input!$I$15*(1+annual_incr_advtg)^6,IF(B116=Input!$I$16+84,Input!$I$15*(1+annual_incr_advtg)^7,IF(B116=Input!$I$16+96,Input!$I$15*(1+annual_incr_advtg)^8,IF(B116=Input!$I$16+108,Input!$I$15*(1+annual_incr_advtg)^9,IF(B116=Input!$I$16+120,Input!$I$15*(1+annual_incr_advtg)^10,0))))))))))))</f>
        <v>0</v>
      </c>
      <c r="K116" s="139">
        <f>IF(Input!$I$19="",0,IF(B116=Input!$I$19,Input!$I$18,IF(B116=Input!$I$19+12,Input!$I$18*(1+annual_incr_other1),IF(B116=Input!$I$19+24,Input!$I$18*(1+annual_incr_other1)^2,IF(B116=Input!$I$19+36,Input!$I$18*(1+annual_incr_other1)^3,IF(B116=Input!$I$19+48,Input!$I$18*(1+annual_incr_other1)^4,IF(B116=Input!$I$19+60,Input!$I$18*(1+annual_incr_other1)^5,IF(B116=Input!$I$19+72,Input!$I$18*(1+annual_incr_other1)^6,IF(B116=Input!$I$19+84,Input!$I$18*(1+annual_incr_other1)^7,IF(B116=Input!$I$19+96,Input!$I$18*(1+annual_incr_other1)^8,IF(B116=Input!$I$19+108,Input!$I$18*(1+annual_incr_other1)^9,IF(B116=Input!$I$19+120,Input!$I$18*(1+annual_incr_other1)^10,0))))))))))))</f>
        <v>0</v>
      </c>
      <c r="L116" s="156">
        <f>IF(OR(Input!$I$22="",B116&lt;Input!$I$22),0,IF(AND(B116&gt;=Input!$I$22,B116&lt;Input!$I$22+12),Input!$I$21,IF(B116=Input!$I$22+12,Input!$I$21*(1+annual_incr_other2),IF(B116=Input!$I$22+24,Input!$I$21*(1+annual_incr_other2)^2,IF(B116=Input!$I$22+36,Input!$I$21*(1+annual_incr_other2)^3,IF(B116=Input!$I$22+48,Input!$I$21*(1+annual_incr_other2)^4,IF(B116=Input!$I$22+60,Input!$I$21*(1+annual_incr_other2)^5,IF(B116=Input!$I$22+72,Input!$I$21*(1+annual_incr_other2)^6,IF(B116=Input!$I$22+84,Input!$I$21*(1+annual_incr_other2)^7,IF(B116=Input!$I$22+96,Input!$I$21*(1+annual_incr_other2)^8,IF(B116=Input!$I$22+108,Input!$I$21*(1+annual_incr_other2)^9,IF(B116=Input!$I$22+120,Input!$I$21*(1+annual_incr_other2)^10,L115))))))))))))</f>
        <v>686.87463347121604</v>
      </c>
      <c r="M116" s="139">
        <f>IF(OR(Input!$I$27="",B116&lt;Input!$I$27),0,E116*mgmt_fee)</f>
        <v>2563.4777032799998</v>
      </c>
      <c r="N116" s="139">
        <f>IF(OR(Input!$I$29="",B116&lt;Input!$I$29),0,E116*repairs_maint)</f>
        <v>3133.1394151199997</v>
      </c>
      <c r="O116" s="149">
        <f>IF(Input!$I$31="",0,IF(OR(B116=Input!$I$31,B116=Input!$I$31+12,B116=Input!$I$31+24,B116=Input!$I$31+36,B116=Input!$I$31+48,B116=Input!$I$31+60,B116=Input!$I$31+72,B116=Input!$I$31+84,B116=Input!$I$31+96,B116=Input!$I$31+108,B116=Input!$I$31+120),E116*other_3,0))</f>
        <v>0</v>
      </c>
      <c r="P116" s="158">
        <f t="shared" si="57"/>
        <v>6983.5909642082897</v>
      </c>
      <c r="Q116" s="159">
        <f t="shared" si="58"/>
        <v>277847.2649557917</v>
      </c>
      <c r="R116" s="160"/>
      <c r="S116" s="161">
        <f>IF(AND(leveraged_property,B116&lt;=amort_period),-IPMT(interest_rate/12,B116,amort_period,loan_amount),0)</f>
        <v>36665.498992872497</v>
      </c>
      <c r="T116" s="149">
        <f t="shared" si="59"/>
        <v>17274.456135092732</v>
      </c>
      <c r="U116" s="149">
        <f>IF(AND(leveraged_property,B116&lt;=amort_period),-PMT(interest_rate/12,amort_period,loan_amount),0)</f>
        <v>53939.95512796523</v>
      </c>
      <c r="V116" s="149">
        <f t="shared" si="81"/>
        <v>7982470.7786734523</v>
      </c>
      <c r="W116" s="160"/>
      <c r="X116" s="149">
        <f t="shared" si="82"/>
        <v>133802.05862814697</v>
      </c>
      <c r="Y116" s="162">
        <f t="shared" si="83"/>
        <v>31341794.21305719</v>
      </c>
      <c r="Z116" s="156">
        <f t="shared" si="71"/>
        <v>40952540.254768722</v>
      </c>
      <c r="AA116" s="163">
        <f t="shared" ca="1" si="72"/>
        <v>40952540.254768722</v>
      </c>
      <c r="AB116" s="160"/>
      <c r="AC116" s="164">
        <f>Input!$C$25/12</f>
        <v>26538.461538461535</v>
      </c>
      <c r="AD116" s="139">
        <f t="shared" si="73"/>
        <v>214643.30442445769</v>
      </c>
      <c r="AE116" s="149">
        <f t="shared" si="74"/>
        <v>64392.991327337302</v>
      </c>
      <c r="AF116" s="139">
        <f ca="1">IF(AA116=0,0,AA116-(total_initial_cost-SUM($AC$5:AC116)))</f>
        <v>23224847.94707641</v>
      </c>
      <c r="AG116" s="139">
        <f t="shared" ca="1" si="75"/>
        <v>4644969.589415282</v>
      </c>
      <c r="AH116" s="149">
        <f t="shared" ca="1" si="63"/>
        <v>36307570.66535344</v>
      </c>
      <c r="AI116" s="103"/>
      <c r="AJ116" s="165">
        <f t="shared" ca="1" si="76"/>
        <v>15607570.66535344</v>
      </c>
      <c r="AK116" s="165">
        <f t="shared" ca="1" si="84"/>
        <v>17651036.07704857</v>
      </c>
      <c r="AL116" s="300">
        <f t="shared" ca="1" si="85"/>
        <v>1.5759853640221937</v>
      </c>
      <c r="AM116" s="300">
        <f t="shared" si="86"/>
        <v>0.23040916900619424</v>
      </c>
      <c r="AN116" s="300">
        <f t="shared" si="87"/>
        <v>0.15593536977801731</v>
      </c>
      <c r="AO116" s="301">
        <f>IF(leveraged_property,SUM(Q105:Q116)/SUM(U105:U116),"N/A")</f>
        <v>4.9868138048862125</v>
      </c>
      <c r="AP116" s="103"/>
      <c r="AQ116" s="149">
        <f t="shared" si="64"/>
        <v>223907.30982782648</v>
      </c>
      <c r="AR116" s="149">
        <f t="shared" ca="1" si="77"/>
        <v>33193976.785923097</v>
      </c>
      <c r="AS116" s="288">
        <f ca="1">IF(down_payment&lt;=0,"N/A",IRR(($AQ$4:AQ115,AR116),))</f>
        <v>1.6758374490268024E-2</v>
      </c>
      <c r="AT116" s="290">
        <f t="shared" ca="1" si="78"/>
        <v>0.22071167349115295</v>
      </c>
      <c r="AU116" s="288">
        <f ca="1">IF(down_payment&lt;=0,"N/A",MIRR(($AQ$4:AQ115,AR116),finance_rate,reinvestment_rate))</f>
        <v>1.6241927247065524E-2</v>
      </c>
      <c r="AV116" s="290">
        <f t="shared" ca="1" si="79"/>
        <v>0.21329191712473294</v>
      </c>
      <c r="AW116" s="103"/>
      <c r="AX116" s="194" t="str">
        <f t="shared" si="80"/>
        <v/>
      </c>
      <c r="AY116" s="296" t="str">
        <f>IF(AND(B116=$BA$4,OR(down_payment&lt;=0,purchase_date="")),"N/A",IF(B116=$BA$4,XIRR(AX$4:AX116,A$4:A116),""))</f>
        <v/>
      </c>
      <c r="BA116" s="178"/>
    </row>
    <row r="117" spans="1:53">
      <c r="A117" s="137">
        <f t="shared" si="65"/>
        <v>43600</v>
      </c>
      <c r="B117" s="138">
        <f t="shared" si="55"/>
        <v>113</v>
      </c>
      <c r="C117" s="139">
        <f>C116+(C116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7" s="139">
        <f t="shared" si="70"/>
        <v>14991.097680000001</v>
      </c>
      <c r="E117" s="140">
        <f t="shared" si="56"/>
        <v>284830.85592</v>
      </c>
      <c r="F117" s="141"/>
      <c r="G117" s="157">
        <f>IF(Input!$I$7="",0,IF(B117=Input!$I$7,Input!$I$6,IF(B117=Input!$I$7+12,Input!$I$6*(1+annual_incr_proptax),IF(B117=Input!$I$7+24,Input!$I$6*(1+annual_incr_proptax)^2,IF(B117=Input!$I$7+36,Input!$I$6*(1+annual_incr_proptax)^3,IF(B117=Input!$I$7+48,Input!$I$6*(1+annual_incr_proptax)^4,IF(B117=Input!$I$7+60,Input!$I$6*(1+annual_incr_proptax)^5,IF(B117=Input!$I$7+72,Input!$I$6*(1+annual_incr_proptax)^6,IF(B117=Input!$I$7+84,Input!$I$6*(1+annual_incr_proptax)^7,IF(B117=Input!$I$7+96,Input!$I$6*(1+annual_incr_proptax)^8,IF(B117=Input!$I$7+108,Input!$I$6*(1+annual_incr_proptax)^9,IF(B117=Input!$I$7+120,Input!$I$6*(1+annual_incr_proptax)^10,0))))))))))))</f>
        <v>0</v>
      </c>
      <c r="H117" s="139">
        <f>IF(Input!$I$10="",0,IF(B117=Input!$I$10,Input!$I$9,IF(B117=Input!$I$10+12,Input!$I$9*(1+annual_incr_ins),IF(B117=Input!$I$10+24,Input!$I$9*(1+annual_incr_ins)^2,IF(B117=Input!$I$10+36,Input!$I$9*(1+annual_incr_ins)^3,IF(B117=Input!$I$10+48,Input!$I$9*(1+annual_incr_ins)^4,IF(B117=Input!$I$10+60,Input!$I$9*(1+annual_incr_ins)^5,IF(B117=Input!$I$10+72,Input!$I$9*(1+annual_incr_ins)^6,IF(B117=Input!$I$10+84,Input!$I$9*(1+annual_incr_ins)^7,IF(B117=Input!$I$10+96,Input!$I$9*(1+annual_incr_ins)^8,IF(B117=Input!$I$10+108,Input!$I$9*(1+annual_incr_ins)^9,IF(B117=Input!$I$10+120,Input!$I$9*(1+annual_incr_ins)^10,0))))))))))))</f>
        <v>0</v>
      </c>
      <c r="I117" s="139">
        <f>IF(OR(Input!$I$13="",B117&lt;Input!$I$13),0,IF(AND(B117&gt;=Input!$I$13,B117&lt;Input!$I$13+12),Input!$I$12,IF(B117=Input!$I$13+12,Input!$I$12*(1+annual_incr_util),IF(B117=Input!$I$13+24,Input!$I$12*(1+annual_incr_util)^2,IF(B117=Input!$I$13+36,Input!$I$12*(1+annual_incr_util)^3,IF(B117=Input!$I$13+48,Input!$I$12*(1+annual_incr_util)^4,IF(B117=Input!$I$13+60,Input!$I$12*(1+annual_incr_util)^5,IF(B117=Input!$I$13+72,Input!$I$12*(1+annual_incr_util)^6,IF(B117=Input!$I$13+84,Input!$I$12*(1+annual_incr_util)^7,IF(B117=Input!$I$13+96,Input!$I$12*(1+annual_incr_util)^8,IF(B117=Input!$I$13+108,Input!$I$12*(1+annual_incr_util)^9,IF(B117=Input!$I$13+120,Input!$I$12*(1+annual_incr_util)^10,I116))))))))))))</f>
        <v>600.09921233707462</v>
      </c>
      <c r="J117" s="139">
        <f>IF(Input!$I$16="",0,IF(B117=Input!$I$16,Input!$I$15,IF(B117=Input!$I$16+12,Input!$I$15*(1+annual_incr_advtg),IF(B117=Input!$I$16+24,Input!$I$15*(1+annual_incr_advtg)^2,IF(B117=Input!$I$16+36,Input!$I$15*(1+annual_incr_advtg)^3,IF(B117=Input!$I$16+48,Input!$I$15*(1+annual_incr_advtg)^4,IF(B117=Input!$I$16+60,Input!$I$15*(1+annual_incr_advtg)^5,IF(B117=Input!$I$16+72,Input!$I$15*(1+annual_incr_advtg)^6,IF(B117=Input!$I$16+84,Input!$I$15*(1+annual_incr_advtg)^7,IF(B117=Input!$I$16+96,Input!$I$15*(1+annual_incr_advtg)^8,IF(B117=Input!$I$16+108,Input!$I$15*(1+annual_incr_advtg)^9,IF(B117=Input!$I$16+120,Input!$I$15*(1+annual_incr_advtg)^10,0))))))))))))</f>
        <v>0</v>
      </c>
      <c r="K117" s="139">
        <f>IF(Input!$I$19="",0,IF(B117=Input!$I$19,Input!$I$18,IF(B117=Input!$I$19+12,Input!$I$18*(1+annual_incr_other1),IF(B117=Input!$I$19+24,Input!$I$18*(1+annual_incr_other1)^2,IF(B117=Input!$I$19+36,Input!$I$18*(1+annual_incr_other1)^3,IF(B117=Input!$I$19+48,Input!$I$18*(1+annual_incr_other1)^4,IF(B117=Input!$I$19+60,Input!$I$18*(1+annual_incr_other1)^5,IF(B117=Input!$I$19+72,Input!$I$18*(1+annual_incr_other1)^6,IF(B117=Input!$I$19+84,Input!$I$18*(1+annual_incr_other1)^7,IF(B117=Input!$I$19+96,Input!$I$18*(1+annual_incr_other1)^8,IF(B117=Input!$I$19+108,Input!$I$18*(1+annual_incr_other1)^9,IF(B117=Input!$I$19+120,Input!$I$18*(1+annual_incr_other1)^10,0))))))))))))</f>
        <v>6404.9031558966835</v>
      </c>
      <c r="L117" s="156">
        <f>IF(OR(Input!$I$22="",B117&lt;Input!$I$22),0,IF(AND(B117&gt;=Input!$I$22,B117&lt;Input!$I$22+12),Input!$I$21,IF(B117=Input!$I$22+12,Input!$I$21*(1+annual_incr_other2),IF(B117=Input!$I$22+24,Input!$I$21*(1+annual_incr_other2)^2,IF(B117=Input!$I$22+36,Input!$I$21*(1+annual_incr_other2)^3,IF(B117=Input!$I$22+48,Input!$I$21*(1+annual_incr_other2)^4,IF(B117=Input!$I$22+60,Input!$I$21*(1+annual_incr_other2)^5,IF(B117=Input!$I$22+72,Input!$I$21*(1+annual_incr_other2)^6,IF(B117=Input!$I$22+84,Input!$I$21*(1+annual_incr_other2)^7,IF(B117=Input!$I$22+96,Input!$I$21*(1+annual_incr_other2)^8,IF(B117=Input!$I$22+108,Input!$I$21*(1+annual_incr_other2)^9,IF(B117=Input!$I$22+120,Input!$I$21*(1+annual_incr_other2)^10,L116))))))))))))</f>
        <v>686.87463347121604</v>
      </c>
      <c r="M117" s="139">
        <f>IF(OR(Input!$I$27="",B117&lt;Input!$I$27),0,E117*mgmt_fee)</f>
        <v>2563.4777032799998</v>
      </c>
      <c r="N117" s="139">
        <f>IF(OR(Input!$I$29="",B117&lt;Input!$I$29),0,E117*repairs_maint)</f>
        <v>3133.1394151199997</v>
      </c>
      <c r="O117" s="149">
        <f>IF(Input!$I$31="",0,IF(OR(B117=Input!$I$31,B117=Input!$I$31+12,B117=Input!$I$31+24,B117=Input!$I$31+36,B117=Input!$I$31+48,B117=Input!$I$31+60,B117=Input!$I$31+72,B117=Input!$I$31+84,B117=Input!$I$31+96,B117=Input!$I$31+108,B117=Input!$I$31+120),E117*other_3,0))</f>
        <v>0</v>
      </c>
      <c r="P117" s="158">
        <f t="shared" si="57"/>
        <v>13388.494120104973</v>
      </c>
      <c r="Q117" s="159">
        <f t="shared" si="58"/>
        <v>271442.36179989501</v>
      </c>
      <c r="R117" s="160"/>
      <c r="S117" s="161">
        <f>IF(AND(leveraged_property,B117&lt;=amort_period),-IPMT(interest_rate/12,B117,amort_period,loan_amount),0)</f>
        <v>36586.324402253325</v>
      </c>
      <c r="T117" s="149">
        <f t="shared" si="59"/>
        <v>17353.630725711904</v>
      </c>
      <c r="U117" s="149">
        <f>IF(AND(leveraged_property,B117&lt;=amort_period),-PMT(interest_rate/12,amort_period,loan_amount),0)</f>
        <v>53939.95512796523</v>
      </c>
      <c r="V117" s="149">
        <f t="shared" si="81"/>
        <v>7965117.1479477407</v>
      </c>
      <c r="W117" s="160"/>
      <c r="X117" s="149">
        <f t="shared" si="82"/>
        <v>133802.05862814697</v>
      </c>
      <c r="Y117" s="162">
        <f t="shared" si="83"/>
        <v>31470244.189340211</v>
      </c>
      <c r="Z117" s="156">
        <f t="shared" si="71"/>
        <v>41518459.647326306</v>
      </c>
      <c r="AA117" s="163">
        <f t="shared" ca="1" si="72"/>
        <v>41518459.647326306</v>
      </c>
      <c r="AB117" s="160"/>
      <c r="AC117" s="164">
        <f>Input!$C$25/12</f>
        <v>26538.461538461535</v>
      </c>
      <c r="AD117" s="139">
        <f t="shared" si="73"/>
        <v>208317.57585918016</v>
      </c>
      <c r="AE117" s="149">
        <f t="shared" si="74"/>
        <v>62495.272757754043</v>
      </c>
      <c r="AF117" s="139">
        <f ca="1">IF(AA117=0,0,AA117-(total_initial_cost-SUM($AC$5:AC117)))</f>
        <v>23817305.801172458</v>
      </c>
      <c r="AG117" s="139">
        <f t="shared" ca="1" si="75"/>
        <v>4763461.1602344913</v>
      </c>
      <c r="AH117" s="149">
        <f t="shared" ca="1" si="63"/>
        <v>36754998.487091817</v>
      </c>
      <c r="AI117" s="103"/>
      <c r="AJ117" s="165">
        <f t="shared" ca="1" si="76"/>
        <v>16054998.487091817</v>
      </c>
      <c r="AK117" s="165">
        <f t="shared" ca="1" si="84"/>
        <v>18098915.138482288</v>
      </c>
      <c r="AL117" s="300">
        <f t="shared" ca="1" si="85"/>
        <v>1.6159745659359186</v>
      </c>
      <c r="AM117" s="300">
        <f t="shared" si="86"/>
        <v>0.23038399179276856</v>
      </c>
      <c r="AN117" s="300">
        <f t="shared" si="87"/>
        <v>0.15592174732437636</v>
      </c>
      <c r="AO117" s="301">
        <f>IF(leveraged_property,SUM(Q106:Q117)/SUM(U106:U117),"N/A")</f>
        <v>4.9863781587594236</v>
      </c>
      <c r="AP117" s="103"/>
      <c r="AQ117" s="149">
        <f t="shared" si="64"/>
        <v>217502.40667192978</v>
      </c>
      <c r="AR117" s="149">
        <f t="shared" ca="1" si="77"/>
        <v>33770844.906050488</v>
      </c>
      <c r="AS117" s="288">
        <f ca="1">IF(down_payment&lt;=0,"N/A",IRR(($AQ$4:AQ116,AR117),))</f>
        <v>1.6802275302812798E-2</v>
      </c>
      <c r="AT117" s="290">
        <f t="shared" ca="1" si="78"/>
        <v>0.2213443071298411</v>
      </c>
      <c r="AU117" s="288">
        <f ca="1">IF(down_payment&lt;=0,"N/A",MIRR(($AQ$4:AQ116,AR117),finance_rate,reinvestment_rate))</f>
        <v>1.6270707919253002E-2</v>
      </c>
      <c r="AV117" s="290">
        <f t="shared" ca="1" si="79"/>
        <v>0.21370431652314048</v>
      </c>
      <c r="AW117" s="103"/>
      <c r="AX117" s="194" t="str">
        <f t="shared" si="80"/>
        <v/>
      </c>
      <c r="AY117" s="296" t="str">
        <f>IF(AND(B117=$BA$4,OR(down_payment&lt;=0,purchase_date="")),"N/A",IF(B117=$BA$4,XIRR(AX$4:AX117,A$4:A117),""))</f>
        <v/>
      </c>
      <c r="BA117" s="178"/>
    </row>
    <row r="118" spans="1:53">
      <c r="A118" s="137">
        <f t="shared" si="65"/>
        <v>43631</v>
      </c>
      <c r="B118" s="138">
        <f t="shared" si="55"/>
        <v>114</v>
      </c>
      <c r="C118" s="139">
        <f>C117+(C117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8" s="139">
        <f t="shared" si="70"/>
        <v>14991.097680000001</v>
      </c>
      <c r="E118" s="140">
        <f t="shared" si="56"/>
        <v>284830.85592</v>
      </c>
      <c r="F118" s="141"/>
      <c r="G118" s="157">
        <f>IF(Input!$I$7="",0,IF(B118=Input!$I$7,Input!$I$6,IF(B118=Input!$I$7+12,Input!$I$6*(1+annual_incr_proptax),IF(B118=Input!$I$7+24,Input!$I$6*(1+annual_incr_proptax)^2,IF(B118=Input!$I$7+36,Input!$I$6*(1+annual_incr_proptax)^3,IF(B118=Input!$I$7+48,Input!$I$6*(1+annual_incr_proptax)^4,IF(B118=Input!$I$7+60,Input!$I$6*(1+annual_incr_proptax)^5,IF(B118=Input!$I$7+72,Input!$I$6*(1+annual_incr_proptax)^6,IF(B118=Input!$I$7+84,Input!$I$6*(1+annual_incr_proptax)^7,IF(B118=Input!$I$7+96,Input!$I$6*(1+annual_incr_proptax)^8,IF(B118=Input!$I$7+108,Input!$I$6*(1+annual_incr_proptax)^9,IF(B118=Input!$I$7+120,Input!$I$6*(1+annual_incr_proptax)^10,0))))))))))))</f>
        <v>0</v>
      </c>
      <c r="H118" s="139">
        <f>IF(Input!$I$10="",0,IF(B118=Input!$I$10,Input!$I$9,IF(B118=Input!$I$10+12,Input!$I$9*(1+annual_incr_ins),IF(B118=Input!$I$10+24,Input!$I$9*(1+annual_incr_ins)^2,IF(B118=Input!$I$10+36,Input!$I$9*(1+annual_incr_ins)^3,IF(B118=Input!$I$10+48,Input!$I$9*(1+annual_incr_ins)^4,IF(B118=Input!$I$10+60,Input!$I$9*(1+annual_incr_ins)^5,IF(B118=Input!$I$10+72,Input!$I$9*(1+annual_incr_ins)^6,IF(B118=Input!$I$10+84,Input!$I$9*(1+annual_incr_ins)^7,IF(B118=Input!$I$10+96,Input!$I$9*(1+annual_incr_ins)^8,IF(B118=Input!$I$10+108,Input!$I$9*(1+annual_incr_ins)^9,IF(B118=Input!$I$10+120,Input!$I$9*(1+annual_incr_ins)^10,0))))))))))))</f>
        <v>15318.552205392969</v>
      </c>
      <c r="I118" s="139">
        <f>IF(OR(Input!$I$13="",B118&lt;Input!$I$13),0,IF(AND(B118&gt;=Input!$I$13,B118&lt;Input!$I$13+12),Input!$I$12,IF(B118=Input!$I$13+12,Input!$I$12*(1+annual_incr_util),IF(B118=Input!$I$13+24,Input!$I$12*(1+annual_incr_util)^2,IF(B118=Input!$I$13+36,Input!$I$12*(1+annual_incr_util)^3,IF(B118=Input!$I$13+48,Input!$I$12*(1+annual_incr_util)^4,IF(B118=Input!$I$13+60,Input!$I$12*(1+annual_incr_util)^5,IF(B118=Input!$I$13+72,Input!$I$12*(1+annual_incr_util)^6,IF(B118=Input!$I$13+84,Input!$I$12*(1+annual_incr_util)^7,IF(B118=Input!$I$13+96,Input!$I$12*(1+annual_incr_util)^8,IF(B118=Input!$I$13+108,Input!$I$12*(1+annual_incr_util)^9,IF(B118=Input!$I$13+120,Input!$I$12*(1+annual_incr_util)^10,I117))))))))))))</f>
        <v>600.09921233707462</v>
      </c>
      <c r="J118" s="139">
        <f>IF(Input!$I$16="",0,IF(B118=Input!$I$16,Input!$I$15,IF(B118=Input!$I$16+12,Input!$I$15*(1+annual_incr_advtg),IF(B118=Input!$I$16+24,Input!$I$15*(1+annual_incr_advtg)^2,IF(B118=Input!$I$16+36,Input!$I$15*(1+annual_incr_advtg)^3,IF(B118=Input!$I$16+48,Input!$I$15*(1+annual_incr_advtg)^4,IF(B118=Input!$I$16+60,Input!$I$15*(1+annual_incr_advtg)^5,IF(B118=Input!$I$16+72,Input!$I$15*(1+annual_incr_advtg)^6,IF(B118=Input!$I$16+84,Input!$I$15*(1+annual_incr_advtg)^7,IF(B118=Input!$I$16+96,Input!$I$15*(1+annual_incr_advtg)^8,IF(B118=Input!$I$16+108,Input!$I$15*(1+annual_incr_advtg)^9,IF(B118=Input!$I$16+120,Input!$I$15*(1+annual_incr_advtg)^10,0))))))))))))</f>
        <v>0</v>
      </c>
      <c r="K118" s="139">
        <f>IF(Input!$I$19="",0,IF(B118=Input!$I$19,Input!$I$18,IF(B118=Input!$I$19+12,Input!$I$18*(1+annual_incr_other1),IF(B118=Input!$I$19+24,Input!$I$18*(1+annual_incr_other1)^2,IF(B118=Input!$I$19+36,Input!$I$18*(1+annual_incr_other1)^3,IF(B118=Input!$I$19+48,Input!$I$18*(1+annual_incr_other1)^4,IF(B118=Input!$I$19+60,Input!$I$18*(1+annual_incr_other1)^5,IF(B118=Input!$I$19+72,Input!$I$18*(1+annual_incr_other1)^6,IF(B118=Input!$I$19+84,Input!$I$18*(1+annual_incr_other1)^7,IF(B118=Input!$I$19+96,Input!$I$18*(1+annual_incr_other1)^8,IF(B118=Input!$I$19+108,Input!$I$18*(1+annual_incr_other1)^9,IF(B118=Input!$I$19+120,Input!$I$18*(1+annual_incr_other1)^10,0))))))))))))</f>
        <v>0</v>
      </c>
      <c r="L118" s="156">
        <f>IF(OR(Input!$I$22="",B118&lt;Input!$I$22),0,IF(AND(B118&gt;=Input!$I$22,B118&lt;Input!$I$22+12),Input!$I$21,IF(B118=Input!$I$22+12,Input!$I$21*(1+annual_incr_other2),IF(B118=Input!$I$22+24,Input!$I$21*(1+annual_incr_other2)^2,IF(B118=Input!$I$22+36,Input!$I$21*(1+annual_incr_other2)^3,IF(B118=Input!$I$22+48,Input!$I$21*(1+annual_incr_other2)^4,IF(B118=Input!$I$22+60,Input!$I$21*(1+annual_incr_other2)^5,IF(B118=Input!$I$22+72,Input!$I$21*(1+annual_incr_other2)^6,IF(B118=Input!$I$22+84,Input!$I$21*(1+annual_incr_other2)^7,IF(B118=Input!$I$22+96,Input!$I$21*(1+annual_incr_other2)^8,IF(B118=Input!$I$22+108,Input!$I$21*(1+annual_incr_other2)^9,IF(B118=Input!$I$22+120,Input!$I$21*(1+annual_incr_other2)^10,L117))))))))))))</f>
        <v>686.87463347121604</v>
      </c>
      <c r="M118" s="139">
        <f>IF(OR(Input!$I$27="",B118&lt;Input!$I$27),0,E118*mgmt_fee)</f>
        <v>2563.4777032799998</v>
      </c>
      <c r="N118" s="139">
        <f>IF(OR(Input!$I$29="",B118&lt;Input!$I$29),0,E118*repairs_maint)</f>
        <v>3133.1394151199997</v>
      </c>
      <c r="O118" s="149">
        <f>IF(Input!$I$31="",0,IF(OR(B118=Input!$I$31,B118=Input!$I$31+12,B118=Input!$I$31+24,B118=Input!$I$31+36,B118=Input!$I$31+48,B118=Input!$I$31+60,B118=Input!$I$31+72,B118=Input!$I$31+84,B118=Input!$I$31+96,B118=Input!$I$31+108,B118=Input!$I$31+120),E118*other_3,0))</f>
        <v>0</v>
      </c>
      <c r="P118" s="158">
        <f t="shared" si="57"/>
        <v>22302.143169601262</v>
      </c>
      <c r="Q118" s="159">
        <f t="shared" si="58"/>
        <v>262528.71275039873</v>
      </c>
      <c r="R118" s="160"/>
      <c r="S118" s="161">
        <f>IF(AND(leveraged_property,B118&lt;=amort_period),-IPMT(interest_rate/12,B118,amort_period,loan_amount),0)</f>
        <v>36506.78692809381</v>
      </c>
      <c r="T118" s="149">
        <f t="shared" si="59"/>
        <v>17433.168199871419</v>
      </c>
      <c r="U118" s="149">
        <f>IF(AND(leveraged_property,B118&lt;=amort_period),-PMT(interest_rate/12,amort_period,loan_amount),0)</f>
        <v>53939.95512796523</v>
      </c>
      <c r="V118" s="149">
        <f t="shared" si="81"/>
        <v>7947683.9797478691</v>
      </c>
      <c r="W118" s="160"/>
      <c r="X118" s="149">
        <f t="shared" si="82"/>
        <v>133802.05862814697</v>
      </c>
      <c r="Y118" s="162">
        <f t="shared" si="83"/>
        <v>31598694.165623233</v>
      </c>
      <c r="Z118" s="156">
        <f t="shared" si="71"/>
        <v>42082398.271170929</v>
      </c>
      <c r="AA118" s="163">
        <f t="shared" ca="1" si="72"/>
        <v>42082398.271170929</v>
      </c>
      <c r="AB118" s="160"/>
      <c r="AC118" s="164">
        <f>Input!$C$25/12</f>
        <v>26538.461538461535</v>
      </c>
      <c r="AD118" s="139">
        <f t="shared" si="73"/>
        <v>199483.46428384338</v>
      </c>
      <c r="AE118" s="149">
        <f t="shared" si="74"/>
        <v>59845.039285153012</v>
      </c>
      <c r="AF118" s="139">
        <f ca="1">IF(AA118=0,0,AA118-(total_initial_cost-SUM($AC$5:AC118)))</f>
        <v>24407782.886555541</v>
      </c>
      <c r="AG118" s="139">
        <f t="shared" ca="1" si="75"/>
        <v>4881556.5773111088</v>
      </c>
      <c r="AH118" s="149">
        <f t="shared" ca="1" si="63"/>
        <v>37200841.693859823</v>
      </c>
      <c r="AI118" s="103"/>
      <c r="AJ118" s="165">
        <f t="shared" ca="1" si="76"/>
        <v>16500841.693859823</v>
      </c>
      <c r="AK118" s="165">
        <f t="shared" ca="1" si="84"/>
        <v>18545098.007621624</v>
      </c>
      <c r="AL118" s="300">
        <f t="shared" ca="1" si="85"/>
        <v>1.6558123221090735</v>
      </c>
      <c r="AM118" s="300">
        <f t="shared" si="86"/>
        <v>0.23034420358353336</v>
      </c>
      <c r="AN118" s="300">
        <f t="shared" si="87"/>
        <v>0.15590021940440368</v>
      </c>
      <c r="AO118" s="301">
        <f>IF(leveraged_property,SUM(Q107:Q118)/SUM(U107:U118),"N/A")</f>
        <v>4.9856896957849042</v>
      </c>
      <c r="AP118" s="103"/>
      <c r="AQ118" s="149">
        <f t="shared" si="64"/>
        <v>208588.75762243351</v>
      </c>
      <c r="AR118" s="149">
        <f t="shared" ca="1" si="77"/>
        <v>34343303.049045496</v>
      </c>
      <c r="AS118" s="288">
        <f ca="1">IF(down_payment&lt;=0,"N/A",IRR(($AQ$4:AQ117,AR118),))</f>
        <v>1.6841183788254974E-2</v>
      </c>
      <c r="AT118" s="290">
        <f t="shared" ca="1" si="78"/>
        <v>0.22190524993073679</v>
      </c>
      <c r="AU118" s="288">
        <f ca="1">IF(down_payment&lt;=0,"N/A",MIRR(($AQ$4:AQ117,AR118),finance_rate,reinvestment_rate))</f>
        <v>1.6295765879672741E-2</v>
      </c>
      <c r="AV118" s="290">
        <f t="shared" ca="1" si="79"/>
        <v>0.21406347767022549</v>
      </c>
      <c r="AW118" s="103"/>
      <c r="AX118" s="194" t="str">
        <f t="shared" si="80"/>
        <v/>
      </c>
      <c r="AY118" s="296" t="str">
        <f>IF(AND(B118=$BA$4,OR(down_payment&lt;=0,purchase_date="")),"N/A",IF(B118=$BA$4,XIRR(AX$4:AX118,A$4:A118),""))</f>
        <v/>
      </c>
      <c r="BA118" s="178"/>
    </row>
    <row r="119" spans="1:53">
      <c r="A119" s="137">
        <f t="shared" si="65"/>
        <v>43661</v>
      </c>
      <c r="B119" s="138">
        <f t="shared" si="55"/>
        <v>115</v>
      </c>
      <c r="C119" s="139">
        <f>C118+(C118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19" s="139">
        <f t="shared" si="70"/>
        <v>14991.097680000001</v>
      </c>
      <c r="E119" s="140">
        <f t="shared" si="56"/>
        <v>284830.85592</v>
      </c>
      <c r="F119" s="141"/>
      <c r="G119" s="157">
        <f>IF(Input!$I$7="",0,IF(B119=Input!$I$7,Input!$I$6,IF(B119=Input!$I$7+12,Input!$I$6*(1+annual_incr_proptax),IF(B119=Input!$I$7+24,Input!$I$6*(1+annual_incr_proptax)^2,IF(B119=Input!$I$7+36,Input!$I$6*(1+annual_incr_proptax)^3,IF(B119=Input!$I$7+48,Input!$I$6*(1+annual_incr_proptax)^4,IF(B119=Input!$I$7+60,Input!$I$6*(1+annual_incr_proptax)^5,IF(B119=Input!$I$7+72,Input!$I$6*(1+annual_incr_proptax)^6,IF(B119=Input!$I$7+84,Input!$I$6*(1+annual_incr_proptax)^7,IF(B119=Input!$I$7+96,Input!$I$6*(1+annual_incr_proptax)^8,IF(B119=Input!$I$7+108,Input!$I$6*(1+annual_incr_proptax)^9,IF(B119=Input!$I$7+120,Input!$I$6*(1+annual_incr_proptax)^10,0))))))))))))</f>
        <v>0</v>
      </c>
      <c r="H119" s="139">
        <f>IF(Input!$I$10="",0,IF(B119=Input!$I$10,Input!$I$9,IF(B119=Input!$I$10+12,Input!$I$9*(1+annual_incr_ins),IF(B119=Input!$I$10+24,Input!$I$9*(1+annual_incr_ins)^2,IF(B119=Input!$I$10+36,Input!$I$9*(1+annual_incr_ins)^3,IF(B119=Input!$I$10+48,Input!$I$9*(1+annual_incr_ins)^4,IF(B119=Input!$I$10+60,Input!$I$9*(1+annual_incr_ins)^5,IF(B119=Input!$I$10+72,Input!$I$9*(1+annual_incr_ins)^6,IF(B119=Input!$I$10+84,Input!$I$9*(1+annual_incr_ins)^7,IF(B119=Input!$I$10+96,Input!$I$9*(1+annual_incr_ins)^8,IF(B119=Input!$I$10+108,Input!$I$9*(1+annual_incr_ins)^9,IF(B119=Input!$I$10+120,Input!$I$9*(1+annual_incr_ins)^10,0))))))))))))</f>
        <v>0</v>
      </c>
      <c r="I119" s="139">
        <f>IF(OR(Input!$I$13="",B119&lt;Input!$I$13),0,IF(AND(B119&gt;=Input!$I$13,B119&lt;Input!$I$13+12),Input!$I$12,IF(B119=Input!$I$13+12,Input!$I$12*(1+annual_incr_util),IF(B119=Input!$I$13+24,Input!$I$12*(1+annual_incr_util)^2,IF(B119=Input!$I$13+36,Input!$I$12*(1+annual_incr_util)^3,IF(B119=Input!$I$13+48,Input!$I$12*(1+annual_incr_util)^4,IF(B119=Input!$I$13+60,Input!$I$12*(1+annual_incr_util)^5,IF(B119=Input!$I$13+72,Input!$I$12*(1+annual_incr_util)^6,IF(B119=Input!$I$13+84,Input!$I$12*(1+annual_incr_util)^7,IF(B119=Input!$I$13+96,Input!$I$12*(1+annual_incr_util)^8,IF(B119=Input!$I$13+108,Input!$I$12*(1+annual_incr_util)^9,IF(B119=Input!$I$13+120,Input!$I$12*(1+annual_incr_util)^10,I118))))))))))))</f>
        <v>600.09921233707462</v>
      </c>
      <c r="J119" s="139">
        <f>IF(Input!$I$16="",0,IF(B119=Input!$I$16,Input!$I$15,IF(B119=Input!$I$16+12,Input!$I$15*(1+annual_incr_advtg),IF(B119=Input!$I$16+24,Input!$I$15*(1+annual_incr_advtg)^2,IF(B119=Input!$I$16+36,Input!$I$15*(1+annual_incr_advtg)^3,IF(B119=Input!$I$16+48,Input!$I$15*(1+annual_incr_advtg)^4,IF(B119=Input!$I$16+60,Input!$I$15*(1+annual_incr_advtg)^5,IF(B119=Input!$I$16+72,Input!$I$15*(1+annual_incr_advtg)^6,IF(B119=Input!$I$16+84,Input!$I$15*(1+annual_incr_advtg)^7,IF(B119=Input!$I$16+96,Input!$I$15*(1+annual_incr_advtg)^8,IF(B119=Input!$I$16+108,Input!$I$15*(1+annual_incr_advtg)^9,IF(B119=Input!$I$16+120,Input!$I$15*(1+annual_incr_advtg)^10,0))))))))))))</f>
        <v>18891.359260706176</v>
      </c>
      <c r="K119" s="139">
        <f>IF(Input!$I$19="",0,IF(B119=Input!$I$19,Input!$I$18,IF(B119=Input!$I$19+12,Input!$I$18*(1+annual_incr_other1),IF(B119=Input!$I$19+24,Input!$I$18*(1+annual_incr_other1)^2,IF(B119=Input!$I$19+36,Input!$I$18*(1+annual_incr_other1)^3,IF(B119=Input!$I$19+48,Input!$I$18*(1+annual_incr_other1)^4,IF(B119=Input!$I$19+60,Input!$I$18*(1+annual_incr_other1)^5,IF(B119=Input!$I$19+72,Input!$I$18*(1+annual_incr_other1)^6,IF(B119=Input!$I$19+84,Input!$I$18*(1+annual_incr_other1)^7,IF(B119=Input!$I$19+96,Input!$I$18*(1+annual_incr_other1)^8,IF(B119=Input!$I$19+108,Input!$I$18*(1+annual_incr_other1)^9,IF(B119=Input!$I$19+120,Input!$I$18*(1+annual_incr_other1)^10,0))))))))))))</f>
        <v>0</v>
      </c>
      <c r="L119" s="156">
        <f>IF(OR(Input!$I$22="",B119&lt;Input!$I$22),0,IF(AND(B119&gt;=Input!$I$22,B119&lt;Input!$I$22+12),Input!$I$21,IF(B119=Input!$I$22+12,Input!$I$21*(1+annual_incr_other2),IF(B119=Input!$I$22+24,Input!$I$21*(1+annual_incr_other2)^2,IF(B119=Input!$I$22+36,Input!$I$21*(1+annual_incr_other2)^3,IF(B119=Input!$I$22+48,Input!$I$21*(1+annual_incr_other2)^4,IF(B119=Input!$I$22+60,Input!$I$21*(1+annual_incr_other2)^5,IF(B119=Input!$I$22+72,Input!$I$21*(1+annual_incr_other2)^6,IF(B119=Input!$I$22+84,Input!$I$21*(1+annual_incr_other2)^7,IF(B119=Input!$I$22+96,Input!$I$21*(1+annual_incr_other2)^8,IF(B119=Input!$I$22+108,Input!$I$21*(1+annual_incr_other2)^9,IF(B119=Input!$I$22+120,Input!$I$21*(1+annual_incr_other2)^10,L118))))))))))))</f>
        <v>686.87463347121604</v>
      </c>
      <c r="M119" s="139">
        <f>IF(OR(Input!$I$27="",B119&lt;Input!$I$27),0,E119*mgmt_fee)</f>
        <v>2563.4777032799998</v>
      </c>
      <c r="N119" s="139">
        <f>IF(OR(Input!$I$29="",B119&lt;Input!$I$29),0,E119*repairs_maint)</f>
        <v>3133.1394151199997</v>
      </c>
      <c r="O119" s="149">
        <f>IF(Input!$I$31="",0,IF(OR(B119=Input!$I$31,B119=Input!$I$31+12,B119=Input!$I$31+24,B119=Input!$I$31+36,B119=Input!$I$31+48,B119=Input!$I$31+60,B119=Input!$I$31+72,B119=Input!$I$31+84,B119=Input!$I$31+96,B119=Input!$I$31+108,B119=Input!$I$31+120),E119*other_3,0))</f>
        <v>0</v>
      </c>
      <c r="P119" s="158">
        <f t="shared" si="57"/>
        <v>25874.950224914468</v>
      </c>
      <c r="Q119" s="159">
        <f t="shared" si="58"/>
        <v>258955.90569508553</v>
      </c>
      <c r="R119" s="160"/>
      <c r="S119" s="161">
        <f>IF(AND(leveraged_property,B119&lt;=amort_period),-IPMT(interest_rate/12,B119,amort_period,loan_amount),0)</f>
        <v>36426.884907177737</v>
      </c>
      <c r="T119" s="149">
        <f t="shared" si="59"/>
        <v>17513.070220787493</v>
      </c>
      <c r="U119" s="149">
        <f>IF(AND(leveraged_property,B119&lt;=amort_period),-PMT(interest_rate/12,amort_period,loan_amount),0)</f>
        <v>53939.95512796523</v>
      </c>
      <c r="V119" s="149">
        <f t="shared" si="81"/>
        <v>7930170.909527082</v>
      </c>
      <c r="W119" s="160"/>
      <c r="X119" s="149">
        <f t="shared" si="82"/>
        <v>133802.05862814697</v>
      </c>
      <c r="Y119" s="162">
        <f t="shared" si="83"/>
        <v>31727144.141906254</v>
      </c>
      <c r="Z119" s="156">
        <f t="shared" si="71"/>
        <v>42638538.336402349</v>
      </c>
      <c r="AA119" s="163">
        <f t="shared" ca="1" si="72"/>
        <v>42638538.336402349</v>
      </c>
      <c r="AB119" s="160"/>
      <c r="AC119" s="164">
        <f>Input!$C$25/12</f>
        <v>26538.461538461535</v>
      </c>
      <c r="AD119" s="139">
        <f t="shared" si="73"/>
        <v>195990.55924944626</v>
      </c>
      <c r="AE119" s="149">
        <f t="shared" si="74"/>
        <v>58797.167774833877</v>
      </c>
      <c r="AF119" s="139">
        <f ca="1">IF(AA119=0,0,AA119-(total_initial_cost-SUM($AC$5:AC119)))</f>
        <v>24990461.413325422</v>
      </c>
      <c r="AG119" s="139">
        <f t="shared" ca="1" si="75"/>
        <v>4998092.2826650841</v>
      </c>
      <c r="AH119" s="149">
        <f t="shared" ca="1" si="63"/>
        <v>37640446.053737268</v>
      </c>
      <c r="AI119" s="103"/>
      <c r="AJ119" s="165">
        <f t="shared" ca="1" si="76"/>
        <v>16940446.053737268</v>
      </c>
      <c r="AK119" s="165">
        <f t="shared" ca="1" si="84"/>
        <v>18984622.440611482</v>
      </c>
      <c r="AL119" s="300">
        <f t="shared" ca="1" si="85"/>
        <v>1.6950555750545966</v>
      </c>
      <c r="AM119" s="300">
        <f t="shared" si="86"/>
        <v>0.23025051540391911</v>
      </c>
      <c r="AN119" s="300">
        <f t="shared" si="87"/>
        <v>0.15584952821543366</v>
      </c>
      <c r="AO119" s="301">
        <f>IF(leveraged_property,SUM(Q108:Q119)/SUM(U108:U119),"N/A")</f>
        <v>4.9840685913407894</v>
      </c>
      <c r="AP119" s="103"/>
      <c r="AQ119" s="149">
        <f t="shared" si="64"/>
        <v>205015.95056712031</v>
      </c>
      <c r="AR119" s="149">
        <f t="shared" ca="1" si="77"/>
        <v>34913383.37744239</v>
      </c>
      <c r="AS119" s="288">
        <f ca="1">IF(down_payment&lt;=0,"N/A",IRR(($AQ$4:AQ118,AR119),))</f>
        <v>1.6875305235737794E-2</v>
      </c>
      <c r="AT119" s="290">
        <f t="shared" ca="1" si="78"/>
        <v>0.22239737246340829</v>
      </c>
      <c r="AU119" s="288">
        <f ca="1">IF(down_payment&lt;=0,"N/A",MIRR(($AQ$4:AQ118,AR119),finance_rate,reinvestment_rate))</f>
        <v>1.6317261539117611E-2</v>
      </c>
      <c r="AV119" s="290">
        <f t="shared" ca="1" si="79"/>
        <v>0.21437165722232554</v>
      </c>
      <c r="AW119" s="103"/>
      <c r="AX119" s="194" t="str">
        <f t="shared" si="80"/>
        <v/>
      </c>
      <c r="AY119" s="296" t="str">
        <f>IF(AND(B119=$BA$4,OR(down_payment&lt;=0,purchase_date="")),"N/A",IF(B119=$BA$4,XIRR(AX$4:AX119,A$4:A119),""))</f>
        <v/>
      </c>
      <c r="BA119" s="178"/>
    </row>
    <row r="120" spans="1:53">
      <c r="A120" s="137">
        <f t="shared" si="65"/>
        <v>43692</v>
      </c>
      <c r="B120" s="138">
        <f t="shared" si="55"/>
        <v>116</v>
      </c>
      <c r="C120" s="139">
        <f>C119+(C119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20" s="139">
        <f t="shared" si="70"/>
        <v>14991.097680000001</v>
      </c>
      <c r="E120" s="140">
        <f t="shared" si="56"/>
        <v>284830.85592</v>
      </c>
      <c r="F120" s="141"/>
      <c r="G120" s="157">
        <f>IF(Input!$I$7="",0,IF(B120=Input!$I$7,Input!$I$6,IF(B120=Input!$I$7+12,Input!$I$6*(1+annual_incr_proptax),IF(B120=Input!$I$7+24,Input!$I$6*(1+annual_incr_proptax)^2,IF(B120=Input!$I$7+36,Input!$I$6*(1+annual_incr_proptax)^3,IF(B120=Input!$I$7+48,Input!$I$6*(1+annual_incr_proptax)^4,IF(B120=Input!$I$7+60,Input!$I$6*(1+annual_incr_proptax)^5,IF(B120=Input!$I$7+72,Input!$I$6*(1+annual_incr_proptax)^6,IF(B120=Input!$I$7+84,Input!$I$6*(1+annual_incr_proptax)^7,IF(B120=Input!$I$7+96,Input!$I$6*(1+annual_incr_proptax)^8,IF(B120=Input!$I$7+108,Input!$I$6*(1+annual_incr_proptax)^9,IF(B120=Input!$I$7+120,Input!$I$6*(1+annual_incr_proptax)^10,0))))))))))))</f>
        <v>0</v>
      </c>
      <c r="H120" s="139">
        <f>IF(Input!$I$10="",0,IF(B120=Input!$I$10,Input!$I$9,IF(B120=Input!$I$10+12,Input!$I$9*(1+annual_incr_ins),IF(B120=Input!$I$10+24,Input!$I$9*(1+annual_incr_ins)^2,IF(B120=Input!$I$10+36,Input!$I$9*(1+annual_incr_ins)^3,IF(B120=Input!$I$10+48,Input!$I$9*(1+annual_incr_ins)^4,IF(B120=Input!$I$10+60,Input!$I$9*(1+annual_incr_ins)^5,IF(B120=Input!$I$10+72,Input!$I$9*(1+annual_incr_ins)^6,IF(B120=Input!$I$10+84,Input!$I$9*(1+annual_incr_ins)^7,IF(B120=Input!$I$10+96,Input!$I$9*(1+annual_incr_ins)^8,IF(B120=Input!$I$10+108,Input!$I$9*(1+annual_incr_ins)^9,IF(B120=Input!$I$10+120,Input!$I$9*(1+annual_incr_ins)^10,0))))))))))))</f>
        <v>0</v>
      </c>
      <c r="I120" s="139">
        <f>IF(OR(Input!$I$13="",B120&lt;Input!$I$13),0,IF(AND(B120&gt;=Input!$I$13,B120&lt;Input!$I$13+12),Input!$I$12,IF(B120=Input!$I$13+12,Input!$I$12*(1+annual_incr_util),IF(B120=Input!$I$13+24,Input!$I$12*(1+annual_incr_util)^2,IF(B120=Input!$I$13+36,Input!$I$12*(1+annual_incr_util)^3,IF(B120=Input!$I$13+48,Input!$I$12*(1+annual_incr_util)^4,IF(B120=Input!$I$13+60,Input!$I$12*(1+annual_incr_util)^5,IF(B120=Input!$I$13+72,Input!$I$12*(1+annual_incr_util)^6,IF(B120=Input!$I$13+84,Input!$I$12*(1+annual_incr_util)^7,IF(B120=Input!$I$13+96,Input!$I$12*(1+annual_incr_util)^8,IF(B120=Input!$I$13+108,Input!$I$12*(1+annual_incr_util)^9,IF(B120=Input!$I$13+120,Input!$I$12*(1+annual_incr_util)^10,I119))))))))))))</f>
        <v>600.09921233707462</v>
      </c>
      <c r="J120" s="139">
        <f>IF(Input!$I$16="",0,IF(B120=Input!$I$16,Input!$I$15,IF(B120=Input!$I$16+12,Input!$I$15*(1+annual_incr_advtg),IF(B120=Input!$I$16+24,Input!$I$15*(1+annual_incr_advtg)^2,IF(B120=Input!$I$16+36,Input!$I$15*(1+annual_incr_advtg)^3,IF(B120=Input!$I$16+48,Input!$I$15*(1+annual_incr_advtg)^4,IF(B120=Input!$I$16+60,Input!$I$15*(1+annual_incr_advtg)^5,IF(B120=Input!$I$16+72,Input!$I$15*(1+annual_incr_advtg)^6,IF(B120=Input!$I$16+84,Input!$I$15*(1+annual_incr_advtg)^7,IF(B120=Input!$I$16+96,Input!$I$15*(1+annual_incr_advtg)^8,IF(B120=Input!$I$16+108,Input!$I$15*(1+annual_incr_advtg)^9,IF(B120=Input!$I$16+120,Input!$I$15*(1+annual_incr_advtg)^10,0))))))))))))</f>
        <v>0</v>
      </c>
      <c r="K120" s="139">
        <f>IF(Input!$I$19="",0,IF(B120=Input!$I$19,Input!$I$18,IF(B120=Input!$I$19+12,Input!$I$18*(1+annual_incr_other1),IF(B120=Input!$I$19+24,Input!$I$18*(1+annual_incr_other1)^2,IF(B120=Input!$I$19+36,Input!$I$18*(1+annual_incr_other1)^3,IF(B120=Input!$I$19+48,Input!$I$18*(1+annual_incr_other1)^4,IF(B120=Input!$I$19+60,Input!$I$18*(1+annual_incr_other1)^5,IF(B120=Input!$I$19+72,Input!$I$18*(1+annual_incr_other1)^6,IF(B120=Input!$I$19+84,Input!$I$18*(1+annual_incr_other1)^7,IF(B120=Input!$I$19+96,Input!$I$18*(1+annual_incr_other1)^8,IF(B120=Input!$I$19+108,Input!$I$18*(1+annual_incr_other1)^9,IF(B120=Input!$I$19+120,Input!$I$18*(1+annual_incr_other1)^10,0))))))))))))</f>
        <v>0</v>
      </c>
      <c r="L120" s="156">
        <f>IF(OR(Input!$I$22="",B120&lt;Input!$I$22),0,IF(AND(B120&gt;=Input!$I$22,B120&lt;Input!$I$22+12),Input!$I$21,IF(B120=Input!$I$22+12,Input!$I$21*(1+annual_incr_other2),IF(B120=Input!$I$22+24,Input!$I$21*(1+annual_incr_other2)^2,IF(B120=Input!$I$22+36,Input!$I$21*(1+annual_incr_other2)^3,IF(B120=Input!$I$22+48,Input!$I$21*(1+annual_incr_other2)^4,IF(B120=Input!$I$22+60,Input!$I$21*(1+annual_incr_other2)^5,IF(B120=Input!$I$22+72,Input!$I$21*(1+annual_incr_other2)^6,IF(B120=Input!$I$22+84,Input!$I$21*(1+annual_incr_other2)^7,IF(B120=Input!$I$22+96,Input!$I$21*(1+annual_incr_other2)^8,IF(B120=Input!$I$22+108,Input!$I$21*(1+annual_incr_other2)^9,IF(B120=Input!$I$22+120,Input!$I$21*(1+annual_incr_other2)^10,L119))))))))))))</f>
        <v>686.87463347121604</v>
      </c>
      <c r="M120" s="139">
        <f>IF(OR(Input!$I$27="",B120&lt;Input!$I$27),0,E120*mgmt_fee)</f>
        <v>2563.4777032799998</v>
      </c>
      <c r="N120" s="139">
        <f>IF(OR(Input!$I$29="",B120&lt;Input!$I$29),0,E120*repairs_maint)</f>
        <v>3133.1394151199997</v>
      </c>
      <c r="O120" s="149">
        <f>IF(Input!$I$31="",0,IF(OR(B120=Input!$I$31,B120=Input!$I$31+12,B120=Input!$I$31+24,B120=Input!$I$31+36,B120=Input!$I$31+48,B120=Input!$I$31+60,B120=Input!$I$31+72,B120=Input!$I$31+84,B120=Input!$I$31+96,B120=Input!$I$31+108,B120=Input!$I$31+120),E120*other_3,0))</f>
        <v>0</v>
      </c>
      <c r="P120" s="158">
        <f t="shared" si="57"/>
        <v>6983.5909642082897</v>
      </c>
      <c r="Q120" s="159">
        <f t="shared" si="58"/>
        <v>277847.2649557917</v>
      </c>
      <c r="R120" s="160"/>
      <c r="S120" s="161">
        <f>IF(AND(leveraged_property,B120&lt;=amort_period),-IPMT(interest_rate/12,B120,amort_period,loan_amount),0)</f>
        <v>36346.616668665796</v>
      </c>
      <c r="T120" s="149">
        <f t="shared" si="59"/>
        <v>17593.338459299433</v>
      </c>
      <c r="U120" s="149">
        <f>IF(AND(leveraged_property,B120&lt;=amort_period),-PMT(interest_rate/12,amort_period,loan_amount),0)</f>
        <v>53939.95512796523</v>
      </c>
      <c r="V120" s="149">
        <f t="shared" si="81"/>
        <v>7912577.5710677821</v>
      </c>
      <c r="W120" s="160"/>
      <c r="X120" s="149">
        <f t="shared" si="82"/>
        <v>133802.05862814697</v>
      </c>
      <c r="Y120" s="162">
        <f t="shared" si="83"/>
        <v>31855594.118189275</v>
      </c>
      <c r="Z120" s="156">
        <f t="shared" si="71"/>
        <v>43207532.082474768</v>
      </c>
      <c r="AA120" s="163">
        <f t="shared" ca="1" si="72"/>
        <v>43207532.082474768</v>
      </c>
      <c r="AB120" s="160"/>
      <c r="AC120" s="164">
        <f>Input!$C$25/12</f>
        <v>26538.461538461535</v>
      </c>
      <c r="AD120" s="139">
        <f t="shared" si="73"/>
        <v>214962.18674866439</v>
      </c>
      <c r="AE120" s="149">
        <f t="shared" si="74"/>
        <v>64488.656024599317</v>
      </c>
      <c r="AF120" s="139">
        <f ca="1">IF(AA120=0,0,AA120-(total_initial_cost-SUM($AC$5:AC120)))</f>
        <v>25585993.620936304</v>
      </c>
      <c r="AG120" s="139">
        <f t="shared" ca="1" si="75"/>
        <v>5117198.7241872614</v>
      </c>
      <c r="AH120" s="149">
        <f t="shared" ca="1" si="63"/>
        <v>38090333.358287506</v>
      </c>
      <c r="AI120" s="103"/>
      <c r="AJ120" s="165">
        <f t="shared" ca="1" si="76"/>
        <v>17390333.358287506</v>
      </c>
      <c r="AK120" s="165">
        <f t="shared" ca="1" si="84"/>
        <v>19435142.384146422</v>
      </c>
      <c r="AL120" s="300">
        <f t="shared" ca="1" si="85"/>
        <v>1.7352805700130733</v>
      </c>
      <c r="AM120" s="300">
        <f t="shared" si="86"/>
        <v>0.23024733305023209</v>
      </c>
      <c r="AN120" s="300">
        <f t="shared" si="87"/>
        <v>0.15584780636223103</v>
      </c>
      <c r="AO120" s="301">
        <f>IF(leveraged_property,SUM(Q109:Q120)/SUM(U109:U120),"N/A")</f>
        <v>4.9840135264678675</v>
      </c>
      <c r="AP120" s="103"/>
      <c r="AQ120" s="149">
        <f t="shared" si="64"/>
        <v>223907.30982782648</v>
      </c>
      <c r="AR120" s="149">
        <f t="shared" ca="1" si="77"/>
        <v>35518861.821234815</v>
      </c>
      <c r="AS120" s="288">
        <f ca="1">IF(down_payment&lt;=0,"N/A",IRR(($AQ$4:AQ119,AR120),))</f>
        <v>1.6911939108922951E-2</v>
      </c>
      <c r="AT120" s="290">
        <f t="shared" ca="1" si="78"/>
        <v>0.22292593313407472</v>
      </c>
      <c r="AU120" s="288">
        <f ca="1">IF(down_payment&lt;=0,"N/A",MIRR(($AQ$4:AQ119,AR120),finance_rate,reinvestment_rate))</f>
        <v>1.6340561227026207E-2</v>
      </c>
      <c r="AV120" s="290">
        <f t="shared" ca="1" si="79"/>
        <v>0.21470578180687805</v>
      </c>
      <c r="AW120" s="103"/>
      <c r="AX120" s="194" t="str">
        <f t="shared" si="80"/>
        <v/>
      </c>
      <c r="AY120" s="296" t="str">
        <f>IF(AND(B120=$BA$4,OR(down_payment&lt;=0,purchase_date="")),"N/A",IF(B120=$BA$4,XIRR(AX$4:AX120,A$4:A120),""))</f>
        <v/>
      </c>
      <c r="BA120" s="178"/>
    </row>
    <row r="121" spans="1:53">
      <c r="A121" s="137">
        <f t="shared" si="65"/>
        <v>43723</v>
      </c>
      <c r="B121" s="138">
        <f t="shared" si="55"/>
        <v>117</v>
      </c>
      <c r="C121" s="139">
        <f>C120+(C120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21" s="139">
        <f t="shared" si="70"/>
        <v>14991.097680000001</v>
      </c>
      <c r="E121" s="140">
        <f t="shared" si="56"/>
        <v>284830.85592</v>
      </c>
      <c r="F121" s="141"/>
      <c r="G121" s="157">
        <f>IF(Input!$I$7="",0,IF(B121=Input!$I$7,Input!$I$6,IF(B121=Input!$I$7+12,Input!$I$6*(1+annual_incr_proptax),IF(B121=Input!$I$7+24,Input!$I$6*(1+annual_incr_proptax)^2,IF(B121=Input!$I$7+36,Input!$I$6*(1+annual_incr_proptax)^3,IF(B121=Input!$I$7+48,Input!$I$6*(1+annual_incr_proptax)^4,IF(B121=Input!$I$7+60,Input!$I$6*(1+annual_incr_proptax)^5,IF(B121=Input!$I$7+72,Input!$I$6*(1+annual_incr_proptax)^6,IF(B121=Input!$I$7+84,Input!$I$6*(1+annual_incr_proptax)^7,IF(B121=Input!$I$7+96,Input!$I$6*(1+annual_incr_proptax)^8,IF(B121=Input!$I$7+108,Input!$I$6*(1+annual_incr_proptax)^9,IF(B121=Input!$I$7+120,Input!$I$6*(1+annual_incr_proptax)^10,0))))))))))))</f>
        <v>0</v>
      </c>
      <c r="H121" s="139">
        <f>IF(Input!$I$10="",0,IF(B121=Input!$I$10,Input!$I$9,IF(B121=Input!$I$10+12,Input!$I$9*(1+annual_incr_ins),IF(B121=Input!$I$10+24,Input!$I$9*(1+annual_incr_ins)^2,IF(B121=Input!$I$10+36,Input!$I$9*(1+annual_incr_ins)^3,IF(B121=Input!$I$10+48,Input!$I$9*(1+annual_incr_ins)^4,IF(B121=Input!$I$10+60,Input!$I$9*(1+annual_incr_ins)^5,IF(B121=Input!$I$10+72,Input!$I$9*(1+annual_incr_ins)^6,IF(B121=Input!$I$10+84,Input!$I$9*(1+annual_incr_ins)^7,IF(B121=Input!$I$10+96,Input!$I$9*(1+annual_incr_ins)^8,IF(B121=Input!$I$10+108,Input!$I$9*(1+annual_incr_ins)^9,IF(B121=Input!$I$10+120,Input!$I$9*(1+annual_incr_ins)^10,0))))))))))))</f>
        <v>0</v>
      </c>
      <c r="I121" s="139">
        <f>IF(OR(Input!$I$13="",B121&lt;Input!$I$13),0,IF(AND(B121&gt;=Input!$I$13,B121&lt;Input!$I$13+12),Input!$I$12,IF(B121=Input!$I$13+12,Input!$I$12*(1+annual_incr_util),IF(B121=Input!$I$13+24,Input!$I$12*(1+annual_incr_util)^2,IF(B121=Input!$I$13+36,Input!$I$12*(1+annual_incr_util)^3,IF(B121=Input!$I$13+48,Input!$I$12*(1+annual_incr_util)^4,IF(B121=Input!$I$13+60,Input!$I$12*(1+annual_incr_util)^5,IF(B121=Input!$I$13+72,Input!$I$12*(1+annual_incr_util)^6,IF(B121=Input!$I$13+84,Input!$I$12*(1+annual_incr_util)^7,IF(B121=Input!$I$13+96,Input!$I$12*(1+annual_incr_util)^8,IF(B121=Input!$I$13+108,Input!$I$12*(1+annual_incr_util)^9,IF(B121=Input!$I$13+120,Input!$I$12*(1+annual_incr_util)^10,I120))))))))))))</f>
        <v>600.09921233707462</v>
      </c>
      <c r="J121" s="139">
        <f>IF(Input!$I$16="",0,IF(B121=Input!$I$16,Input!$I$15,IF(B121=Input!$I$16+12,Input!$I$15*(1+annual_incr_advtg),IF(B121=Input!$I$16+24,Input!$I$15*(1+annual_incr_advtg)^2,IF(B121=Input!$I$16+36,Input!$I$15*(1+annual_incr_advtg)^3,IF(B121=Input!$I$16+48,Input!$I$15*(1+annual_incr_advtg)^4,IF(B121=Input!$I$16+60,Input!$I$15*(1+annual_incr_advtg)^5,IF(B121=Input!$I$16+72,Input!$I$15*(1+annual_incr_advtg)^6,IF(B121=Input!$I$16+84,Input!$I$15*(1+annual_incr_advtg)^7,IF(B121=Input!$I$16+96,Input!$I$15*(1+annual_incr_advtg)^8,IF(B121=Input!$I$16+108,Input!$I$15*(1+annual_incr_advtg)^9,IF(B121=Input!$I$16+120,Input!$I$15*(1+annual_incr_advtg)^10,0))))))))))))</f>
        <v>0</v>
      </c>
      <c r="K121" s="139">
        <f>IF(Input!$I$19="",0,IF(B121=Input!$I$19,Input!$I$18,IF(B121=Input!$I$19+12,Input!$I$18*(1+annual_incr_other1),IF(B121=Input!$I$19+24,Input!$I$18*(1+annual_incr_other1)^2,IF(B121=Input!$I$19+36,Input!$I$18*(1+annual_incr_other1)^3,IF(B121=Input!$I$19+48,Input!$I$18*(1+annual_incr_other1)^4,IF(B121=Input!$I$19+60,Input!$I$18*(1+annual_incr_other1)^5,IF(B121=Input!$I$19+72,Input!$I$18*(1+annual_incr_other1)^6,IF(B121=Input!$I$19+84,Input!$I$18*(1+annual_incr_other1)^7,IF(B121=Input!$I$19+96,Input!$I$18*(1+annual_incr_other1)^8,IF(B121=Input!$I$19+108,Input!$I$18*(1+annual_incr_other1)^9,IF(B121=Input!$I$19+120,Input!$I$18*(1+annual_incr_other1)^10,0))))))))))))</f>
        <v>0</v>
      </c>
      <c r="L121" s="156">
        <f>IF(OR(Input!$I$22="",B121&lt;Input!$I$22),0,IF(AND(B121&gt;=Input!$I$22,B121&lt;Input!$I$22+12),Input!$I$21,IF(B121=Input!$I$22+12,Input!$I$21*(1+annual_incr_other2),IF(B121=Input!$I$22+24,Input!$I$21*(1+annual_incr_other2)^2,IF(B121=Input!$I$22+36,Input!$I$21*(1+annual_incr_other2)^3,IF(B121=Input!$I$22+48,Input!$I$21*(1+annual_incr_other2)^4,IF(B121=Input!$I$22+60,Input!$I$21*(1+annual_incr_other2)^5,IF(B121=Input!$I$22+72,Input!$I$21*(1+annual_incr_other2)^6,IF(B121=Input!$I$22+84,Input!$I$21*(1+annual_incr_other2)^7,IF(B121=Input!$I$22+96,Input!$I$21*(1+annual_incr_other2)^8,IF(B121=Input!$I$22+108,Input!$I$21*(1+annual_incr_other2)^9,IF(B121=Input!$I$22+120,Input!$I$21*(1+annual_incr_other2)^10,L120))))))))))))</f>
        <v>686.87463347121604</v>
      </c>
      <c r="M121" s="139">
        <f>IF(OR(Input!$I$27="",B121&lt;Input!$I$27),0,E121*mgmt_fee)</f>
        <v>2563.4777032799998</v>
      </c>
      <c r="N121" s="139">
        <f>IF(OR(Input!$I$29="",B121&lt;Input!$I$29),0,E121*repairs_maint)</f>
        <v>3133.1394151199997</v>
      </c>
      <c r="O121" s="149">
        <f>IF(Input!$I$31="",0,IF(OR(B121=Input!$I$31,B121=Input!$I$31+12,B121=Input!$I$31+24,B121=Input!$I$31+36,B121=Input!$I$31+48,B121=Input!$I$31+60,B121=Input!$I$31+72,B121=Input!$I$31+84,B121=Input!$I$31+96,B121=Input!$I$31+108,B121=Input!$I$31+120),E121*other_3,0))</f>
        <v>0</v>
      </c>
      <c r="P121" s="158">
        <f t="shared" si="57"/>
        <v>6983.5909642082897</v>
      </c>
      <c r="Q121" s="159">
        <f t="shared" si="58"/>
        <v>277847.2649557917</v>
      </c>
      <c r="R121" s="160"/>
      <c r="S121" s="161">
        <f>IF(AND(leveraged_property,B121&lt;=amort_period),-IPMT(interest_rate/12,B121,amort_period,loan_amount),0)</f>
        <v>36265.980534060662</v>
      </c>
      <c r="T121" s="149">
        <f t="shared" si="59"/>
        <v>17673.974593904568</v>
      </c>
      <c r="U121" s="149">
        <f>IF(AND(leveraged_property,B121&lt;=amort_period),-PMT(interest_rate/12,amort_period,loan_amount),0)</f>
        <v>53939.95512796523</v>
      </c>
      <c r="V121" s="149">
        <f t="shared" si="81"/>
        <v>7894903.5964738773</v>
      </c>
      <c r="W121" s="160"/>
      <c r="X121" s="149">
        <f t="shared" si="82"/>
        <v>133802.05862814697</v>
      </c>
      <c r="Y121" s="162">
        <f t="shared" si="83"/>
        <v>31984044.094472297</v>
      </c>
      <c r="Z121" s="156">
        <f t="shared" si="71"/>
        <v>43776525.828547187</v>
      </c>
      <c r="AA121" s="163">
        <f t="shared" ca="1" si="72"/>
        <v>43776525.828547187</v>
      </c>
      <c r="AB121" s="160"/>
      <c r="AC121" s="164">
        <f>Input!$C$25/12</f>
        <v>26538.461538461535</v>
      </c>
      <c r="AD121" s="139">
        <f t="shared" si="73"/>
        <v>215042.82288326952</v>
      </c>
      <c r="AE121" s="149">
        <f t="shared" si="74"/>
        <v>64512.846864980849</v>
      </c>
      <c r="AF121" s="139">
        <f ca="1">IF(AA121=0,0,AA121-(total_initial_cost-SUM($AC$5:AC121)))</f>
        <v>26181525.828547183</v>
      </c>
      <c r="AG121" s="139">
        <f t="shared" ca="1" si="75"/>
        <v>5236305.1657094369</v>
      </c>
      <c r="AH121" s="149">
        <f t="shared" ca="1" si="63"/>
        <v>38540220.662837751</v>
      </c>
      <c r="AI121" s="103"/>
      <c r="AJ121" s="165">
        <f t="shared" ca="1" si="76"/>
        <v>17840220.662837751</v>
      </c>
      <c r="AK121" s="165">
        <f t="shared" ca="1" si="84"/>
        <v>19885665.341629289</v>
      </c>
      <c r="AL121" s="300">
        <f t="shared" ca="1" si="85"/>
        <v>1.7755058340740437</v>
      </c>
      <c r="AM121" s="300">
        <f t="shared" si="86"/>
        <v>0.23024415069654508</v>
      </c>
      <c r="AN121" s="300">
        <f t="shared" si="87"/>
        <v>0.1558460845090284</v>
      </c>
      <c r="AO121" s="301">
        <f>IF(leveraged_property,SUM(Q110:Q121)/SUM(U110:U121),"N/A")</f>
        <v>4.9839584615949457</v>
      </c>
      <c r="AP121" s="103"/>
      <c r="AQ121" s="149">
        <f t="shared" si="64"/>
        <v>223907.30982782648</v>
      </c>
      <c r="AR121" s="149">
        <f t="shared" ca="1" si="77"/>
        <v>36105529.541901134</v>
      </c>
      <c r="AS121" s="288">
        <f ca="1">IF(down_payment&lt;=0,"N/A",IRR(($AQ$4:AQ120,AR121),))</f>
        <v>1.6945836535712862E-2</v>
      </c>
      <c r="AT121" s="290">
        <f t="shared" ca="1" si="78"/>
        <v>0.22341519842669455</v>
      </c>
      <c r="AU121" s="288">
        <f ca="1">IF(down_payment&lt;=0,"N/A",MIRR(($AQ$4:AQ120,AR121),finance_rate,reinvestment_rate))</f>
        <v>1.6361810314643233E-2</v>
      </c>
      <c r="AV121" s="290">
        <f t="shared" ca="1" si="79"/>
        <v>0.21501057363184084</v>
      </c>
      <c r="AW121" s="103"/>
      <c r="AX121" s="194" t="str">
        <f t="shared" si="80"/>
        <v/>
      </c>
      <c r="AY121" s="296" t="str">
        <f>IF(AND(B121=$BA$4,OR(down_payment&lt;=0,purchase_date="")),"N/A",IF(B121=$BA$4,XIRR(AX$4:AX121,A$4:A121),""))</f>
        <v/>
      </c>
      <c r="BA121" s="178"/>
    </row>
    <row r="122" spans="1:53">
      <c r="A122" s="137">
        <f t="shared" si="65"/>
        <v>43753</v>
      </c>
      <c r="B122" s="138">
        <f t="shared" si="55"/>
        <v>118</v>
      </c>
      <c r="C122" s="139">
        <f>C121+(C121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22" s="139">
        <f t="shared" si="70"/>
        <v>14991.097680000001</v>
      </c>
      <c r="E122" s="140">
        <f t="shared" si="56"/>
        <v>284830.85592</v>
      </c>
      <c r="F122" s="141"/>
      <c r="G122" s="157">
        <f>IF(Input!$I$7="",0,IF(B122=Input!$I$7,Input!$I$6,IF(B122=Input!$I$7+12,Input!$I$6*(1+annual_incr_proptax),IF(B122=Input!$I$7+24,Input!$I$6*(1+annual_incr_proptax)^2,IF(B122=Input!$I$7+36,Input!$I$6*(1+annual_incr_proptax)^3,IF(B122=Input!$I$7+48,Input!$I$6*(1+annual_incr_proptax)^4,IF(B122=Input!$I$7+60,Input!$I$6*(1+annual_incr_proptax)^5,IF(B122=Input!$I$7+72,Input!$I$6*(1+annual_incr_proptax)^6,IF(B122=Input!$I$7+84,Input!$I$6*(1+annual_incr_proptax)^7,IF(B122=Input!$I$7+96,Input!$I$6*(1+annual_incr_proptax)^8,IF(B122=Input!$I$7+108,Input!$I$6*(1+annual_incr_proptax)^9,IF(B122=Input!$I$7+120,Input!$I$6*(1+annual_incr_proptax)^10,0))))))))))))</f>
        <v>0</v>
      </c>
      <c r="H122" s="139">
        <f>IF(Input!$I$10="",0,IF(B122=Input!$I$10,Input!$I$9,IF(B122=Input!$I$10+12,Input!$I$9*(1+annual_incr_ins),IF(B122=Input!$I$10+24,Input!$I$9*(1+annual_incr_ins)^2,IF(B122=Input!$I$10+36,Input!$I$9*(1+annual_incr_ins)^3,IF(B122=Input!$I$10+48,Input!$I$9*(1+annual_incr_ins)^4,IF(B122=Input!$I$10+60,Input!$I$9*(1+annual_incr_ins)^5,IF(B122=Input!$I$10+72,Input!$I$9*(1+annual_incr_ins)^6,IF(B122=Input!$I$10+84,Input!$I$9*(1+annual_incr_ins)^7,IF(B122=Input!$I$10+96,Input!$I$9*(1+annual_incr_ins)^8,IF(B122=Input!$I$10+108,Input!$I$9*(1+annual_incr_ins)^9,IF(B122=Input!$I$10+120,Input!$I$9*(1+annual_incr_ins)^10,0))))))))))))</f>
        <v>0</v>
      </c>
      <c r="I122" s="139">
        <f>IF(OR(Input!$I$13="",B122&lt;Input!$I$13),0,IF(AND(B122&gt;=Input!$I$13,B122&lt;Input!$I$13+12),Input!$I$12,IF(B122=Input!$I$13+12,Input!$I$12*(1+annual_incr_util),IF(B122=Input!$I$13+24,Input!$I$12*(1+annual_incr_util)^2,IF(B122=Input!$I$13+36,Input!$I$12*(1+annual_incr_util)^3,IF(B122=Input!$I$13+48,Input!$I$12*(1+annual_incr_util)^4,IF(B122=Input!$I$13+60,Input!$I$12*(1+annual_incr_util)^5,IF(B122=Input!$I$13+72,Input!$I$12*(1+annual_incr_util)^6,IF(B122=Input!$I$13+84,Input!$I$12*(1+annual_incr_util)^7,IF(B122=Input!$I$13+96,Input!$I$12*(1+annual_incr_util)^8,IF(B122=Input!$I$13+108,Input!$I$12*(1+annual_incr_util)^9,IF(B122=Input!$I$13+120,Input!$I$12*(1+annual_incr_util)^10,I121))))))))))))</f>
        <v>600.09921233707462</v>
      </c>
      <c r="J122" s="139">
        <f>IF(Input!$I$16="",0,IF(B122=Input!$I$16,Input!$I$15,IF(B122=Input!$I$16+12,Input!$I$15*(1+annual_incr_advtg),IF(B122=Input!$I$16+24,Input!$I$15*(1+annual_incr_advtg)^2,IF(B122=Input!$I$16+36,Input!$I$15*(1+annual_incr_advtg)^3,IF(B122=Input!$I$16+48,Input!$I$15*(1+annual_incr_advtg)^4,IF(B122=Input!$I$16+60,Input!$I$15*(1+annual_incr_advtg)^5,IF(B122=Input!$I$16+72,Input!$I$15*(1+annual_incr_advtg)^6,IF(B122=Input!$I$16+84,Input!$I$15*(1+annual_incr_advtg)^7,IF(B122=Input!$I$16+96,Input!$I$15*(1+annual_incr_advtg)^8,IF(B122=Input!$I$16+108,Input!$I$15*(1+annual_incr_advtg)^9,IF(B122=Input!$I$16+120,Input!$I$15*(1+annual_incr_advtg)^10,0))))))))))))</f>
        <v>0</v>
      </c>
      <c r="K122" s="139">
        <f>IF(Input!$I$19="",0,IF(B122=Input!$I$19,Input!$I$18,IF(B122=Input!$I$19+12,Input!$I$18*(1+annual_incr_other1),IF(B122=Input!$I$19+24,Input!$I$18*(1+annual_incr_other1)^2,IF(B122=Input!$I$19+36,Input!$I$18*(1+annual_incr_other1)^3,IF(B122=Input!$I$19+48,Input!$I$18*(1+annual_incr_other1)^4,IF(B122=Input!$I$19+60,Input!$I$18*(1+annual_incr_other1)^5,IF(B122=Input!$I$19+72,Input!$I$18*(1+annual_incr_other1)^6,IF(B122=Input!$I$19+84,Input!$I$18*(1+annual_incr_other1)^7,IF(B122=Input!$I$19+96,Input!$I$18*(1+annual_incr_other1)^8,IF(B122=Input!$I$19+108,Input!$I$18*(1+annual_incr_other1)^9,IF(B122=Input!$I$19+120,Input!$I$18*(1+annual_incr_other1)^10,0))))))))))))</f>
        <v>0</v>
      </c>
      <c r="L122" s="156">
        <f>IF(OR(Input!$I$22="",B122&lt;Input!$I$22),0,IF(AND(B122&gt;=Input!$I$22,B122&lt;Input!$I$22+12),Input!$I$21,IF(B122=Input!$I$22+12,Input!$I$21*(1+annual_incr_other2),IF(B122=Input!$I$22+24,Input!$I$21*(1+annual_incr_other2)^2,IF(B122=Input!$I$22+36,Input!$I$21*(1+annual_incr_other2)^3,IF(B122=Input!$I$22+48,Input!$I$21*(1+annual_incr_other2)^4,IF(B122=Input!$I$22+60,Input!$I$21*(1+annual_incr_other2)^5,IF(B122=Input!$I$22+72,Input!$I$21*(1+annual_incr_other2)^6,IF(B122=Input!$I$22+84,Input!$I$21*(1+annual_incr_other2)^7,IF(B122=Input!$I$22+96,Input!$I$21*(1+annual_incr_other2)^8,IF(B122=Input!$I$22+108,Input!$I$21*(1+annual_incr_other2)^9,IF(B122=Input!$I$22+120,Input!$I$21*(1+annual_incr_other2)^10,L121))))))))))))</f>
        <v>686.87463347121604</v>
      </c>
      <c r="M122" s="139">
        <f>IF(OR(Input!$I$27="",B122&lt;Input!$I$27),0,E122*mgmt_fee)</f>
        <v>2563.4777032799998</v>
      </c>
      <c r="N122" s="139">
        <f>IF(OR(Input!$I$29="",B122&lt;Input!$I$29),0,E122*repairs_maint)</f>
        <v>3133.1394151199997</v>
      </c>
      <c r="O122" s="149">
        <f>IF(Input!$I$31="",0,IF(OR(B122=Input!$I$31,B122=Input!$I$31+12,B122=Input!$I$31+24,B122=Input!$I$31+36,B122=Input!$I$31+48,B122=Input!$I$31+60,B122=Input!$I$31+72,B122=Input!$I$31+84,B122=Input!$I$31+96,B122=Input!$I$31+108,B122=Input!$I$31+120),E122*other_3,0))</f>
        <v>0</v>
      </c>
      <c r="P122" s="158">
        <f t="shared" si="57"/>
        <v>6983.5909642082897</v>
      </c>
      <c r="Q122" s="159">
        <f t="shared" si="58"/>
        <v>277847.2649557917</v>
      </c>
      <c r="R122" s="160"/>
      <c r="S122" s="161">
        <f>IF(AND(leveraged_property,B122&lt;=amort_period),-IPMT(interest_rate/12,B122,amort_period,loan_amount),0)</f>
        <v>36184.97481717194</v>
      </c>
      <c r="T122" s="149">
        <f t="shared" si="59"/>
        <v>17754.980310793289</v>
      </c>
      <c r="U122" s="149">
        <f>IF(AND(leveraged_property,B122&lt;=amort_period),-PMT(interest_rate/12,amort_period,loan_amount),0)</f>
        <v>53939.95512796523</v>
      </c>
      <c r="V122" s="149">
        <f t="shared" si="81"/>
        <v>7877148.6161630843</v>
      </c>
      <c r="W122" s="160"/>
      <c r="X122" s="149">
        <f t="shared" si="82"/>
        <v>133802.05862814697</v>
      </c>
      <c r="Y122" s="162">
        <f t="shared" si="83"/>
        <v>32112494.070755318</v>
      </c>
      <c r="Z122" s="156">
        <f t="shared" si="71"/>
        <v>44345519.574619591</v>
      </c>
      <c r="AA122" s="163">
        <f t="shared" ca="1" si="72"/>
        <v>44345519.574619591</v>
      </c>
      <c r="AB122" s="160"/>
      <c r="AC122" s="164">
        <f>Input!$C$25/12</f>
        <v>26538.461538461535</v>
      </c>
      <c r="AD122" s="139">
        <f t="shared" si="73"/>
        <v>215123.82860015825</v>
      </c>
      <c r="AE122" s="149">
        <f t="shared" si="74"/>
        <v>64537.148580047469</v>
      </c>
      <c r="AF122" s="139">
        <f ca="1">IF(AA122=0,0,AA122-(total_initial_cost-SUM($AC$5:AC122)))</f>
        <v>26777058.036158048</v>
      </c>
      <c r="AG122" s="139">
        <f t="shared" ca="1" si="75"/>
        <v>5355411.6072316095</v>
      </c>
      <c r="AH122" s="149">
        <f t="shared" ca="1" si="63"/>
        <v>38990107.967387982</v>
      </c>
      <c r="AI122" s="103"/>
      <c r="AJ122" s="165">
        <f t="shared" ca="1" si="76"/>
        <v>18290107.967387982</v>
      </c>
      <c r="AK122" s="165">
        <f t="shared" ca="1" si="84"/>
        <v>20336191.326873995</v>
      </c>
      <c r="AL122" s="300">
        <f t="shared" ca="1" si="85"/>
        <v>1.8157313684708924</v>
      </c>
      <c r="AM122" s="300">
        <f t="shared" si="86"/>
        <v>0.23024096834285812</v>
      </c>
      <c r="AN122" s="300">
        <f t="shared" si="87"/>
        <v>0.1558443626558258</v>
      </c>
      <c r="AO122" s="301">
        <f>IF(leveraged_property,SUM(Q111:Q122)/SUM(U111:U122),"N/A")</f>
        <v>4.9839033967220239</v>
      </c>
      <c r="AP122" s="103"/>
      <c r="AQ122" s="149">
        <f t="shared" si="64"/>
        <v>223907.30982782648</v>
      </c>
      <c r="AR122" s="149">
        <f t="shared" ca="1" si="77"/>
        <v>36692278.268284336</v>
      </c>
      <c r="AS122" s="288">
        <f ca="1">IF(down_payment&lt;=0,"N/A",IRR(($AQ$4:AQ121,AR122),))</f>
        <v>1.6977135765035657E-2</v>
      </c>
      <c r="AT122" s="290">
        <f t="shared" ca="1" si="78"/>
        <v>0.22386712143887721</v>
      </c>
      <c r="AU122" s="288">
        <f ca="1">IF(down_payment&lt;=0,"N/A",MIRR(($AQ$4:AQ121,AR122),finance_rate,reinvestment_rate))</f>
        <v>1.6381115624360953E-2</v>
      </c>
      <c r="AV122" s="290">
        <f t="shared" ca="1" si="79"/>
        <v>0.21528754514902948</v>
      </c>
      <c r="AW122" s="103"/>
      <c r="AX122" s="194" t="str">
        <f t="shared" si="80"/>
        <v/>
      </c>
      <c r="AY122" s="296" t="str">
        <f>IF(AND(B122=$BA$4,OR(down_payment&lt;=0,purchase_date="")),"N/A",IF(B122=$BA$4,XIRR(AX$4:AX122,A$4:A122),""))</f>
        <v/>
      </c>
      <c r="BA122" s="178"/>
    </row>
    <row r="123" spans="1:53">
      <c r="A123" s="137">
        <f t="shared" si="65"/>
        <v>43784</v>
      </c>
      <c r="B123" s="138">
        <f t="shared" si="55"/>
        <v>119</v>
      </c>
      <c r="C123" s="139">
        <f>C122+(C122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23" s="139">
        <f t="shared" si="70"/>
        <v>14991.097680000001</v>
      </c>
      <c r="E123" s="140">
        <f t="shared" si="56"/>
        <v>284830.85592</v>
      </c>
      <c r="F123" s="141"/>
      <c r="G123" s="157">
        <f>IF(Input!$I$7="",0,IF(B123=Input!$I$7,Input!$I$6,IF(B123=Input!$I$7+12,Input!$I$6*(1+annual_incr_proptax),IF(B123=Input!$I$7+24,Input!$I$6*(1+annual_incr_proptax)^2,IF(B123=Input!$I$7+36,Input!$I$6*(1+annual_incr_proptax)^3,IF(B123=Input!$I$7+48,Input!$I$6*(1+annual_incr_proptax)^4,IF(B123=Input!$I$7+60,Input!$I$6*(1+annual_incr_proptax)^5,IF(B123=Input!$I$7+72,Input!$I$6*(1+annual_incr_proptax)^6,IF(B123=Input!$I$7+84,Input!$I$6*(1+annual_incr_proptax)^7,IF(B123=Input!$I$7+96,Input!$I$6*(1+annual_incr_proptax)^8,IF(B123=Input!$I$7+108,Input!$I$6*(1+annual_incr_proptax)^9,IF(B123=Input!$I$7+120,Input!$I$6*(1+annual_incr_proptax)^10,0))))))))))))</f>
        <v>0</v>
      </c>
      <c r="H123" s="139">
        <f>IF(Input!$I$10="",0,IF(B123=Input!$I$10,Input!$I$9,IF(B123=Input!$I$10+12,Input!$I$9*(1+annual_incr_ins),IF(B123=Input!$I$10+24,Input!$I$9*(1+annual_incr_ins)^2,IF(B123=Input!$I$10+36,Input!$I$9*(1+annual_incr_ins)^3,IF(B123=Input!$I$10+48,Input!$I$9*(1+annual_incr_ins)^4,IF(B123=Input!$I$10+60,Input!$I$9*(1+annual_incr_ins)^5,IF(B123=Input!$I$10+72,Input!$I$9*(1+annual_incr_ins)^6,IF(B123=Input!$I$10+84,Input!$I$9*(1+annual_incr_ins)^7,IF(B123=Input!$I$10+96,Input!$I$9*(1+annual_incr_ins)^8,IF(B123=Input!$I$10+108,Input!$I$9*(1+annual_incr_ins)^9,IF(B123=Input!$I$10+120,Input!$I$9*(1+annual_incr_ins)^10,0))))))))))))</f>
        <v>0</v>
      </c>
      <c r="I123" s="139">
        <f>IF(OR(Input!$I$13="",B123&lt;Input!$I$13),0,IF(AND(B123&gt;=Input!$I$13,B123&lt;Input!$I$13+12),Input!$I$12,IF(B123=Input!$I$13+12,Input!$I$12*(1+annual_incr_util),IF(B123=Input!$I$13+24,Input!$I$12*(1+annual_incr_util)^2,IF(B123=Input!$I$13+36,Input!$I$12*(1+annual_incr_util)^3,IF(B123=Input!$I$13+48,Input!$I$12*(1+annual_incr_util)^4,IF(B123=Input!$I$13+60,Input!$I$12*(1+annual_incr_util)^5,IF(B123=Input!$I$13+72,Input!$I$12*(1+annual_incr_util)^6,IF(B123=Input!$I$13+84,Input!$I$12*(1+annual_incr_util)^7,IF(B123=Input!$I$13+96,Input!$I$12*(1+annual_incr_util)^8,IF(B123=Input!$I$13+108,Input!$I$12*(1+annual_incr_util)^9,IF(B123=Input!$I$13+120,Input!$I$12*(1+annual_incr_util)^10,I122))))))))))))</f>
        <v>600.09921233707462</v>
      </c>
      <c r="J123" s="139">
        <f>IF(Input!$I$16="",0,IF(B123=Input!$I$16,Input!$I$15,IF(B123=Input!$I$16+12,Input!$I$15*(1+annual_incr_advtg),IF(B123=Input!$I$16+24,Input!$I$15*(1+annual_incr_advtg)^2,IF(B123=Input!$I$16+36,Input!$I$15*(1+annual_incr_advtg)^3,IF(B123=Input!$I$16+48,Input!$I$15*(1+annual_incr_advtg)^4,IF(B123=Input!$I$16+60,Input!$I$15*(1+annual_incr_advtg)^5,IF(B123=Input!$I$16+72,Input!$I$15*(1+annual_incr_advtg)^6,IF(B123=Input!$I$16+84,Input!$I$15*(1+annual_incr_advtg)^7,IF(B123=Input!$I$16+96,Input!$I$15*(1+annual_incr_advtg)^8,IF(B123=Input!$I$16+108,Input!$I$15*(1+annual_incr_advtg)^9,IF(B123=Input!$I$16+120,Input!$I$15*(1+annual_incr_advtg)^10,0))))))))))))</f>
        <v>0</v>
      </c>
      <c r="K123" s="139">
        <f>IF(Input!$I$19="",0,IF(B123=Input!$I$19,Input!$I$18,IF(B123=Input!$I$19+12,Input!$I$18*(1+annual_incr_other1),IF(B123=Input!$I$19+24,Input!$I$18*(1+annual_incr_other1)^2,IF(B123=Input!$I$19+36,Input!$I$18*(1+annual_incr_other1)^3,IF(B123=Input!$I$19+48,Input!$I$18*(1+annual_incr_other1)^4,IF(B123=Input!$I$19+60,Input!$I$18*(1+annual_incr_other1)^5,IF(B123=Input!$I$19+72,Input!$I$18*(1+annual_incr_other1)^6,IF(B123=Input!$I$19+84,Input!$I$18*(1+annual_incr_other1)^7,IF(B123=Input!$I$19+96,Input!$I$18*(1+annual_incr_other1)^8,IF(B123=Input!$I$19+108,Input!$I$18*(1+annual_incr_other1)^9,IF(B123=Input!$I$19+120,Input!$I$18*(1+annual_incr_other1)^10,0))))))))))))</f>
        <v>0</v>
      </c>
      <c r="L123" s="156">
        <f>IF(OR(Input!$I$22="",B123&lt;Input!$I$22),0,IF(AND(B123&gt;=Input!$I$22,B123&lt;Input!$I$22+12),Input!$I$21,IF(B123=Input!$I$22+12,Input!$I$21*(1+annual_incr_other2),IF(B123=Input!$I$22+24,Input!$I$21*(1+annual_incr_other2)^2,IF(B123=Input!$I$22+36,Input!$I$21*(1+annual_incr_other2)^3,IF(B123=Input!$I$22+48,Input!$I$21*(1+annual_incr_other2)^4,IF(B123=Input!$I$22+60,Input!$I$21*(1+annual_incr_other2)^5,IF(B123=Input!$I$22+72,Input!$I$21*(1+annual_incr_other2)^6,IF(B123=Input!$I$22+84,Input!$I$21*(1+annual_incr_other2)^7,IF(B123=Input!$I$22+96,Input!$I$21*(1+annual_incr_other2)^8,IF(B123=Input!$I$22+108,Input!$I$21*(1+annual_incr_other2)^9,IF(B123=Input!$I$22+120,Input!$I$21*(1+annual_incr_other2)^10,L122))))))))))))</f>
        <v>686.87463347121604</v>
      </c>
      <c r="M123" s="139">
        <f>IF(OR(Input!$I$27="",B123&lt;Input!$I$27),0,E123*mgmt_fee)</f>
        <v>2563.4777032799998</v>
      </c>
      <c r="N123" s="139">
        <f>IF(OR(Input!$I$29="",B123&lt;Input!$I$29),0,E123*repairs_maint)</f>
        <v>3133.1394151199997</v>
      </c>
      <c r="O123" s="149">
        <f>IF(Input!$I$31="",0,IF(OR(B123=Input!$I$31,B123=Input!$I$31+12,B123=Input!$I$31+24,B123=Input!$I$31+36,B123=Input!$I$31+48,B123=Input!$I$31+60,B123=Input!$I$31+72,B123=Input!$I$31+84,B123=Input!$I$31+96,B123=Input!$I$31+108,B123=Input!$I$31+120),E123*other_3,0))</f>
        <v>0</v>
      </c>
      <c r="P123" s="158">
        <f t="shared" si="57"/>
        <v>6983.5909642082897</v>
      </c>
      <c r="Q123" s="159">
        <f t="shared" si="58"/>
        <v>277847.2649557917</v>
      </c>
      <c r="R123" s="160"/>
      <c r="S123" s="161">
        <f>IF(AND(leveraged_property,B123&lt;=amort_period),-IPMT(interest_rate/12,B123,amort_period,loan_amount),0)</f>
        <v>36103.597824080796</v>
      </c>
      <c r="T123" s="149">
        <f t="shared" si="59"/>
        <v>17836.357303884433</v>
      </c>
      <c r="U123" s="149">
        <f>IF(AND(leveraged_property,B123&lt;=amort_period),-PMT(interest_rate/12,amort_period,loan_amount),0)</f>
        <v>53939.95512796523</v>
      </c>
      <c r="V123" s="149">
        <f t="shared" si="81"/>
        <v>7859312.2588591995</v>
      </c>
      <c r="W123" s="160"/>
      <c r="X123" s="149">
        <f t="shared" si="82"/>
        <v>133802.05862814697</v>
      </c>
      <c r="Y123" s="162">
        <f t="shared" si="83"/>
        <v>32240944.047038339</v>
      </c>
      <c r="Z123" s="156">
        <f t="shared" si="71"/>
        <v>44914513.32069201</v>
      </c>
      <c r="AA123" s="163">
        <f t="shared" ca="1" si="72"/>
        <v>44914513.32069201</v>
      </c>
      <c r="AB123" s="160"/>
      <c r="AC123" s="164">
        <f>Input!$C$25/12</f>
        <v>26538.461538461535</v>
      </c>
      <c r="AD123" s="139">
        <f t="shared" si="73"/>
        <v>215205.20559324938</v>
      </c>
      <c r="AE123" s="149">
        <f t="shared" si="74"/>
        <v>64561.561677974809</v>
      </c>
      <c r="AF123" s="139">
        <f ca="1">IF(AA123=0,0,AA123-(total_initial_cost-SUM($AC$5:AC123)))</f>
        <v>27372590.24376893</v>
      </c>
      <c r="AG123" s="139">
        <f t="shared" ca="1" si="75"/>
        <v>5474518.0487537868</v>
      </c>
      <c r="AH123" s="149">
        <f t="shared" ca="1" si="63"/>
        <v>39439995.27193822</v>
      </c>
      <c r="AI123" s="103"/>
      <c r="AJ123" s="165">
        <f t="shared" ca="1" si="76"/>
        <v>18739995.27193822</v>
      </c>
      <c r="AK123" s="165">
        <f t="shared" ca="1" si="84"/>
        <v>20786720.353757799</v>
      </c>
      <c r="AL123" s="300">
        <f t="shared" ca="1" si="85"/>
        <v>1.8559571744426606</v>
      </c>
      <c r="AM123" s="300">
        <f t="shared" si="86"/>
        <v>0.23023778598917111</v>
      </c>
      <c r="AN123" s="300">
        <f t="shared" si="87"/>
        <v>0.15584264080262317</v>
      </c>
      <c r="AO123" s="301">
        <f>IF(leveraged_property,SUM(Q112:Q123)/SUM(U112:U123),"N/A")</f>
        <v>4.983848331849102</v>
      </c>
      <c r="AP123" s="103"/>
      <c r="AQ123" s="162">
        <f t="shared" si="64"/>
        <v>223907.30982782648</v>
      </c>
      <c r="AR123" s="149">
        <f t="shared" ca="1" si="77"/>
        <v>37279108.371660635</v>
      </c>
      <c r="AS123" s="288">
        <f ca="1">IF(down_payment&lt;=0,"N/A",IRR(($AQ$4:AQ122,AR123),))</f>
        <v>1.700596719604559E-2</v>
      </c>
      <c r="AT123" s="290">
        <f t="shared" ca="1" si="78"/>
        <v>0.22428354782714499</v>
      </c>
      <c r="AU123" s="288">
        <f ca="1">IF(down_payment&lt;=0,"N/A",MIRR(($AQ$4:AQ122,AR123),finance_rate,reinvestment_rate))</f>
        <v>1.639857812268497E-2</v>
      </c>
      <c r="AV123" s="290">
        <f t="shared" ca="1" si="79"/>
        <v>0.21553812787113524</v>
      </c>
      <c r="AW123" s="103"/>
      <c r="AX123" s="196" t="str">
        <f t="shared" si="80"/>
        <v/>
      </c>
      <c r="AY123" s="296" t="str">
        <f>IF(AND(B123=$BA$4,OR(down_payment&lt;=0,purchase_date="")),"N/A",IF(B123=$BA$4,XIRR(AX$4:AX123,A$4:A123),""))</f>
        <v/>
      </c>
      <c r="BA123" s="178"/>
    </row>
    <row r="124" spans="1:53">
      <c r="A124" s="181">
        <f t="shared" si="65"/>
        <v>43814</v>
      </c>
      <c r="B124" s="182">
        <f t="shared" si="55"/>
        <v>120</v>
      </c>
      <c r="C124" s="183">
        <f>C123+(C123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299821.95360000001</v>
      </c>
      <c r="D124" s="183">
        <f t="shared" si="70"/>
        <v>14991.097680000001</v>
      </c>
      <c r="E124" s="184">
        <f t="shared" si="56"/>
        <v>284830.85592</v>
      </c>
      <c r="F124" s="197"/>
      <c r="G124" s="185">
        <f>IF(Input!$I$7="",0,IF(B124=Input!$I$7,Input!$I$6,IF(B124=Input!$I$7+12,Input!$I$6*(1+annual_incr_proptax),IF(B124=Input!$I$7+24,Input!$I$6*(1+annual_incr_proptax)^2,IF(B124=Input!$I$7+36,Input!$I$6*(1+annual_incr_proptax)^3,IF(B124=Input!$I$7+48,Input!$I$6*(1+annual_incr_proptax)^4,IF(B124=Input!$I$7+60,Input!$I$6*(1+annual_incr_proptax)^5,IF(B124=Input!$I$7+72,Input!$I$6*(1+annual_incr_proptax)^6,IF(B124=Input!$I$7+84,Input!$I$6*(1+annual_incr_proptax)^7,IF(B124=Input!$I$7+96,Input!$I$6*(1+annual_incr_proptax)^8,IF(B124=Input!$I$7+108,Input!$I$6*(1+annual_incr_proptax)^9,IF(B124=Input!$I$7+120,Input!$I$6*(1+annual_incr_proptax)^10,0))))))))))))</f>
        <v>0</v>
      </c>
      <c r="H124" s="183">
        <f>IF(Input!$I$10="",0,IF(B124=Input!$I$10,Input!$I$9,IF(B124=Input!$I$10+12,Input!$I$9*(1+annual_incr_ins),IF(B124=Input!$I$10+24,Input!$I$9*(1+annual_incr_ins)^2,IF(B124=Input!$I$10+36,Input!$I$9*(1+annual_incr_ins)^3,IF(B124=Input!$I$10+48,Input!$I$9*(1+annual_incr_ins)^4,IF(B124=Input!$I$10+60,Input!$I$9*(1+annual_incr_ins)^5,IF(B124=Input!$I$10+72,Input!$I$9*(1+annual_incr_ins)^6,IF(B124=Input!$I$10+84,Input!$I$9*(1+annual_incr_ins)^7,IF(B124=Input!$I$10+96,Input!$I$9*(1+annual_incr_ins)^8,IF(B124=Input!$I$10+108,Input!$I$9*(1+annual_incr_ins)^9,IF(B124=Input!$I$10+120,Input!$I$9*(1+annual_incr_ins)^10,0))))))))))))</f>
        <v>0</v>
      </c>
      <c r="I124" s="183">
        <f>IF(OR(Input!$I$13="",B124&lt;Input!$I$13),0,IF(AND(B124&gt;=Input!$I$13,B124&lt;Input!$I$13+12),Input!$I$12,IF(B124=Input!$I$13+12,Input!$I$12*(1+annual_incr_util),IF(B124=Input!$I$13+24,Input!$I$12*(1+annual_incr_util)^2,IF(B124=Input!$I$13+36,Input!$I$12*(1+annual_incr_util)^3,IF(B124=Input!$I$13+48,Input!$I$12*(1+annual_incr_util)^4,IF(B124=Input!$I$13+60,Input!$I$12*(1+annual_incr_util)^5,IF(B124=Input!$I$13+72,Input!$I$12*(1+annual_incr_util)^6,IF(B124=Input!$I$13+84,Input!$I$12*(1+annual_incr_util)^7,IF(B124=Input!$I$13+96,Input!$I$12*(1+annual_incr_util)^8,IF(B124=Input!$I$13+108,Input!$I$12*(1+annual_incr_util)^9,IF(B124=Input!$I$13+120,Input!$I$12*(1+annual_incr_util)^10,I123))))))))))))</f>
        <v>600.09921233707462</v>
      </c>
      <c r="J124" s="183">
        <f>IF(Input!$I$16="",0,IF(B124=Input!$I$16,Input!$I$15,IF(B124=Input!$I$16+12,Input!$I$15*(1+annual_incr_advtg),IF(B124=Input!$I$16+24,Input!$I$15*(1+annual_incr_advtg)^2,IF(B124=Input!$I$16+36,Input!$I$15*(1+annual_incr_advtg)^3,IF(B124=Input!$I$16+48,Input!$I$15*(1+annual_incr_advtg)^4,IF(B124=Input!$I$16+60,Input!$I$15*(1+annual_incr_advtg)^5,IF(B124=Input!$I$16+72,Input!$I$15*(1+annual_incr_advtg)^6,IF(B124=Input!$I$16+84,Input!$I$15*(1+annual_incr_advtg)^7,IF(B124=Input!$I$16+96,Input!$I$15*(1+annual_incr_advtg)^8,IF(B124=Input!$I$16+108,Input!$I$15*(1+annual_incr_advtg)^9,IF(B124=Input!$I$16+120,Input!$I$15*(1+annual_incr_advtg)^10,0))))))))))))</f>
        <v>0</v>
      </c>
      <c r="K124" s="183">
        <f>IF(Input!$I$19="",0,IF(B124=Input!$I$19,Input!$I$18,IF(B124=Input!$I$19+12,Input!$I$18*(1+annual_incr_other1),IF(B124=Input!$I$19+24,Input!$I$18*(1+annual_incr_other1)^2,IF(B124=Input!$I$19+36,Input!$I$18*(1+annual_incr_other1)^3,IF(B124=Input!$I$19+48,Input!$I$18*(1+annual_incr_other1)^4,IF(B124=Input!$I$19+60,Input!$I$18*(1+annual_incr_other1)^5,IF(B124=Input!$I$19+72,Input!$I$18*(1+annual_incr_other1)^6,IF(B124=Input!$I$19+84,Input!$I$18*(1+annual_incr_other1)^7,IF(B124=Input!$I$19+96,Input!$I$18*(1+annual_incr_other1)^8,IF(B124=Input!$I$19+108,Input!$I$18*(1+annual_incr_other1)^9,IF(B124=Input!$I$19+120,Input!$I$18*(1+annual_incr_other1)^10,0))))))))))))</f>
        <v>0</v>
      </c>
      <c r="L124" s="183">
        <f>IF(OR(Input!$I$22="",B124&lt;Input!$I$22),0,IF(AND(B124&gt;=Input!$I$22,B124&lt;Input!$I$22+12),Input!$I$21,IF(B124=Input!$I$22+12,Input!$I$21*(1+annual_incr_other2),IF(B124=Input!$I$22+24,Input!$I$21*(1+annual_incr_other2)^2,IF(B124=Input!$I$22+36,Input!$I$21*(1+annual_incr_other2)^3,IF(B124=Input!$I$22+48,Input!$I$21*(1+annual_incr_other2)^4,IF(B124=Input!$I$22+60,Input!$I$21*(1+annual_incr_other2)^5,IF(B124=Input!$I$22+72,Input!$I$21*(1+annual_incr_other2)^6,IF(B124=Input!$I$22+84,Input!$I$21*(1+annual_incr_other2)^7,IF(B124=Input!$I$22+96,Input!$I$21*(1+annual_incr_other2)^8,IF(B124=Input!$I$22+108,Input!$I$21*(1+annual_incr_other2)^9,IF(B124=Input!$I$22+120,Input!$I$21*(1+annual_incr_other2)^10,L123))))))))))))</f>
        <v>686.87463347121604</v>
      </c>
      <c r="M124" s="183">
        <f>IF(OR(Input!$I$27="",B124&lt;Input!$I$27),0,E124*mgmt_fee)</f>
        <v>2563.4777032799998</v>
      </c>
      <c r="N124" s="183">
        <f>IF(OR(Input!$I$29="",B124&lt;Input!$I$29),0,E124*repairs_maint)</f>
        <v>3133.1394151199997</v>
      </c>
      <c r="O124" s="186">
        <f>IF(Input!$I$31="",0,IF(OR(B124=Input!$I$31,B124=Input!$I$31+12,B124=Input!$I$31+24,B124=Input!$I$31+36,B124=Input!$I$31+48,B124=Input!$I$31+60,B124=Input!$I$31+72,B124=Input!$I$31+84,B124=Input!$I$31+96,B124=Input!$I$31+108,B124=Input!$I$31+120),E124*other_3,0))</f>
        <v>0</v>
      </c>
      <c r="P124" s="187">
        <f t="shared" si="57"/>
        <v>6983.5909642082897</v>
      </c>
      <c r="Q124" s="188">
        <f t="shared" si="58"/>
        <v>277847.2649557917</v>
      </c>
      <c r="R124" s="198"/>
      <c r="S124" s="189">
        <f>IF(AND(leveraged_property,B124&lt;=amort_period),-IPMT(interest_rate/12,B124,amort_period,loan_amount),0)</f>
        <v>36021.847853104671</v>
      </c>
      <c r="T124" s="186">
        <f t="shared" si="59"/>
        <v>17918.107274860558</v>
      </c>
      <c r="U124" s="186">
        <f>IF(AND(leveraged_property,B124&lt;=amort_period),-PMT(interest_rate/12,amort_period,loan_amount),0)</f>
        <v>53939.95512796523</v>
      </c>
      <c r="V124" s="186">
        <f t="shared" si="81"/>
        <v>7841394.1515843393</v>
      </c>
      <c r="W124" s="198"/>
      <c r="X124" s="186">
        <f t="shared" si="82"/>
        <v>133802.05862814697</v>
      </c>
      <c r="Y124" s="186">
        <f t="shared" si="83"/>
        <v>32369394.02332136</v>
      </c>
      <c r="Z124" s="183">
        <f t="shared" si="71"/>
        <v>45483507.066764407</v>
      </c>
      <c r="AA124" s="188">
        <f t="shared" ca="1" si="72"/>
        <v>45483507.066764407</v>
      </c>
      <c r="AB124" s="198"/>
      <c r="AC124" s="190">
        <f>Input!$C$25/12</f>
        <v>26538.461538461535</v>
      </c>
      <c r="AD124" s="183">
        <f t="shared" si="73"/>
        <v>215286.9555642255</v>
      </c>
      <c r="AE124" s="186">
        <f t="shared" si="74"/>
        <v>64586.08666926765</v>
      </c>
      <c r="AF124" s="183">
        <f ca="1">IF(AA124=0,0,AA124-(total_initial_cost-SUM($AC$5:AC124)))</f>
        <v>27968122.451379787</v>
      </c>
      <c r="AG124" s="183">
        <f t="shared" ca="1" si="75"/>
        <v>5593624.4902759576</v>
      </c>
      <c r="AH124" s="186">
        <f t="shared" ca="1" si="63"/>
        <v>39889882.57648845</v>
      </c>
      <c r="AI124" s="199"/>
      <c r="AJ124" s="200">
        <f t="shared" ca="1" si="76"/>
        <v>19189882.57648845</v>
      </c>
      <c r="AK124" s="201">
        <f t="shared" ca="1" si="84"/>
        <v>21237252.436221536</v>
      </c>
      <c r="AL124" s="298">
        <f t="shared" ca="1" si="85"/>
        <v>1.8961832532340657</v>
      </c>
      <c r="AM124" s="298">
        <f t="shared" si="86"/>
        <v>0.23023460363548412</v>
      </c>
      <c r="AN124" s="298">
        <f t="shared" si="87"/>
        <v>0.15584091894942054</v>
      </c>
      <c r="AO124" s="299">
        <f>IF(leveraged_property,SUM(Q113:Q124)/SUM(U113:U124),"N/A")</f>
        <v>4.9837932669761802</v>
      </c>
      <c r="AP124" s="199"/>
      <c r="AQ124" s="186">
        <f t="shared" si="64"/>
        <v>223907.30982782648</v>
      </c>
      <c r="AR124" s="186">
        <f t="shared" ca="1" si="77"/>
        <v>37866020.225007892</v>
      </c>
      <c r="AS124" s="289">
        <f ca="1">IF(down_payment&lt;=0,"N/A",IRR(($AQ$4:AQ123,AR124),))</f>
        <v>1.7032453903983016E-2</v>
      </c>
      <c r="AT124" s="291">
        <f t="shared" ca="1" si="78"/>
        <v>0.22466622270365577</v>
      </c>
      <c r="AU124" s="289">
        <f ca="1">IF(down_payment&lt;=0,"N/A",MIRR(($AQ$4:AQ123,AR124),finance_rate,reinvestment_rate))</f>
        <v>1.6414293288828929E-2</v>
      </c>
      <c r="AV124" s="291">
        <f t="shared" ca="1" si="79"/>
        <v>0.2157636772794993</v>
      </c>
      <c r="AW124" s="103"/>
      <c r="AX124" s="202" t="str">
        <f t="shared" si="80"/>
        <v/>
      </c>
      <c r="AY124" s="297" t="str">
        <f>IF(AND(B124=$BA$4,OR(down_payment&lt;=0,purchase_date="")),"N/A",IF(B124=$BA$4,XIRR(AX$4:AX124,A$4:A124),""))</f>
        <v/>
      </c>
      <c r="AZ124" s="203"/>
      <c r="BA124" s="204"/>
    </row>
    <row r="125" spans="1:53">
      <c r="A125" s="137">
        <f t="shared" si="65"/>
        <v>43845</v>
      </c>
      <c r="B125" s="205">
        <f t="shared" si="55"/>
        <v>121</v>
      </c>
      <c r="C125" s="156">
        <f>C124+(C124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25" s="156">
        <f t="shared" ref="D125:D136" si="88">C125*vacancy_losses</f>
        <v>17539.584285600002</v>
      </c>
      <c r="E125" s="156">
        <f t="shared" ref="E125:E136" si="89">SUM(C125,-D125)</f>
        <v>333252.10142640001</v>
      </c>
      <c r="G125" s="206">
        <f>IF(Input!$I$7="",0,IF(B125=Input!$I$7,Input!$I$6,IF(B125=Input!$I$7+12,Input!$I$6*(1+annual_incr_proptax),IF(B125=Input!$I$7+24,Input!$I$6*(1+annual_incr_proptax)^2,IF(B125=Input!$I$7+36,Input!$I$6*(1+annual_incr_proptax)^3,IF(B125=Input!$I$7+48,Input!$I$6*(1+annual_incr_proptax)^4,IF(B125=Input!$I$7+60,Input!$I$6*(1+annual_incr_proptax)^5,IF(B125=Input!$I$7+72,Input!$I$6*(1+annual_incr_proptax)^6,IF(B125=Input!$I$7+84,Input!$I$6*(1+annual_incr_proptax)^7,IF(B125=Input!$I$7+96,Input!$I$6*(1+annual_incr_proptax)^8,IF(B125=Input!$I$7+108,Input!$I$6*(1+annual_incr_proptax)^9,IF(B125=Input!$I$7+120,Input!$I$6*(1+annual_incr_proptax)^10,0))))))))))))</f>
        <v>0</v>
      </c>
      <c r="H125" s="156">
        <f>IF(Input!$I$10="",0,IF(B125=Input!$I$10,Input!$I$9,IF(B125=Input!$I$10+12,Input!$I$9*(1+annual_incr_ins),IF(B125=Input!$I$10+24,Input!$I$9*(1+annual_incr_ins)^2,IF(B125=Input!$I$10+36,Input!$I$9*(1+annual_incr_ins)^3,IF(B125=Input!$I$10+48,Input!$I$9*(1+annual_incr_ins)^4,IF(B125=Input!$I$10+60,Input!$I$9*(1+annual_incr_ins)^5,IF(B125=Input!$I$10+72,Input!$I$9*(1+annual_incr_ins)^6,IF(B125=Input!$I$10+84,Input!$I$9*(1+annual_incr_ins)^7,IF(B125=Input!$I$10+96,Input!$I$9*(1+annual_incr_ins)^8,IF(B125=Input!$I$10+108,Input!$I$9*(1+annual_incr_ins)^9,IF(B125=Input!$I$10+120,Input!$I$9*(1+annual_incr_ins)^10,0))))))))))))</f>
        <v>0</v>
      </c>
      <c r="I125" s="156">
        <f>IF(OR(Input!$I$13="",B125&lt;Input!$I$13),0,IF(AND(B125&gt;=Input!$I$13,B125&lt;Input!$I$13+12),Input!$I$12,IF(B125=Input!$I$13+12,Input!$I$12*(1+annual_incr_util),IF(B125=Input!$I$13+24,Input!$I$12*(1+annual_incr_util)^2,IF(B125=Input!$I$13+36,Input!$I$12*(1+annual_incr_util)^3,IF(B125=Input!$I$13+48,Input!$I$12*(1+annual_incr_util)^4,IF(B125=Input!$I$13+60,Input!$I$12*(1+annual_incr_util)^5,IF(B125=Input!$I$13+72,Input!$I$12*(1+annual_incr_util)^6,IF(B125=Input!$I$13+84,Input!$I$12*(1+annual_incr_util)^7,IF(B125=Input!$I$13+96,Input!$I$12*(1+annual_incr_util)^8,IF(B125=Input!$I$13+108,Input!$I$12*(1+annual_incr_util)^9,IF(B125=Input!$I$13+120,Input!$I$12*(1+annual_incr_util)^10,I124))))))))))))</f>
        <v>600.09921233707462</v>
      </c>
      <c r="J125" s="156">
        <f>IF(Input!$I$16="",0,IF(B125=Input!$I$16,Input!$I$15,IF(B125=Input!$I$16+12,Input!$I$15*(1+annual_incr_advtg),IF(B125=Input!$I$16+24,Input!$I$15*(1+annual_incr_advtg)^2,IF(B125=Input!$I$16+36,Input!$I$15*(1+annual_incr_advtg)^3,IF(B125=Input!$I$16+48,Input!$I$15*(1+annual_incr_advtg)^4,IF(B125=Input!$I$16+60,Input!$I$15*(1+annual_incr_advtg)^5,IF(B125=Input!$I$16+72,Input!$I$15*(1+annual_incr_advtg)^6,IF(B125=Input!$I$16+84,Input!$I$15*(1+annual_incr_advtg)^7,IF(B125=Input!$I$16+96,Input!$I$15*(1+annual_incr_advtg)^8,IF(B125=Input!$I$16+108,Input!$I$15*(1+annual_incr_advtg)^9,IF(B125=Input!$I$16+120,Input!$I$15*(1+annual_incr_advtg)^10,0))))))))))))</f>
        <v>0</v>
      </c>
      <c r="K125" s="156">
        <f>IF(Input!$I$19="",0,IF(B125=Input!$I$19,Input!$I$18,IF(B125=Input!$I$19+12,Input!$I$18*(1+annual_incr_other1),IF(B125=Input!$I$19+24,Input!$I$18*(1+annual_incr_other1)^2,IF(B125=Input!$I$19+36,Input!$I$18*(1+annual_incr_other1)^3,IF(B125=Input!$I$19+48,Input!$I$18*(1+annual_incr_other1)^4,IF(B125=Input!$I$19+60,Input!$I$18*(1+annual_incr_other1)^5,IF(B125=Input!$I$19+72,Input!$I$18*(1+annual_incr_other1)^6,IF(B125=Input!$I$19+84,Input!$I$18*(1+annual_incr_other1)^7,IF(B125=Input!$I$19+96,Input!$I$18*(1+annual_incr_other1)^8,IF(B125=Input!$I$19+108,Input!$I$18*(1+annual_incr_other1)^9,IF(B125=Input!$I$19+120,Input!$I$18*(1+annual_incr_other1)^10,0))))))))))))</f>
        <v>0</v>
      </c>
      <c r="L125" s="156">
        <f>IF(OR(Input!$I$22="",B125&lt;Input!$I$22),0,IF(AND(B125&gt;=Input!$I$22,B125&lt;Input!$I$22+12),Input!$I$21,IF(B125=Input!$I$22+12,Input!$I$21*(1+annual_incr_other2),IF(B125=Input!$I$22+24,Input!$I$21*(1+annual_incr_other2)^2,IF(B125=Input!$I$22+36,Input!$I$21*(1+annual_incr_other2)^3,IF(B125=Input!$I$22+48,Input!$I$21*(1+annual_incr_other2)^4,IF(B125=Input!$I$22+60,Input!$I$21*(1+annual_incr_other2)^5,IF(B125=Input!$I$22+72,Input!$I$21*(1+annual_incr_other2)^6,IF(B125=Input!$I$22+84,Input!$I$21*(1+annual_incr_other2)^7,IF(B125=Input!$I$22+96,Input!$I$21*(1+annual_incr_other2)^8,IF(B125=Input!$I$22+108,Input!$I$21*(1+annual_incr_other2)^9,IF(B125=Input!$I$22+120,Input!$I$21*(1+annual_incr_other2)^10,L124))))))))))))</f>
        <v>704.04649930799644</v>
      </c>
      <c r="M125" s="156">
        <f>IF(OR(Input!$I$27="",B125&lt;Input!$I$27),0,E125*mgmt_fee)</f>
        <v>2999.2689128376001</v>
      </c>
      <c r="N125" s="156">
        <f>IF(OR(Input!$I$29="",B125&lt;Input!$I$29),0,E125*repairs_maint)</f>
        <v>3665.7731156904001</v>
      </c>
      <c r="O125" s="162">
        <f>IF(Input!$I$31="",0,IF(OR(B125=Input!$I$31,B125=Input!$I$31+12,B125=Input!$I$31+24,B125=Input!$I$31+36,B125=Input!$I$31+48,B125=Input!$I$31+60,B125=Input!$I$31+72,B125=Input!$I$31+84,B125=Input!$I$31+96,B125=Input!$I$31+108,B125=Input!$I$31+120),E125*other_3,0))</f>
        <v>0</v>
      </c>
      <c r="P125" s="207">
        <f t="shared" ref="P125:P136" si="90">SUM(G125:O125)</f>
        <v>7969.1877401730717</v>
      </c>
      <c r="Q125" s="162">
        <f t="shared" ref="Q125:Q136" si="91">SUM(E125,-P125)</f>
        <v>325282.91368622694</v>
      </c>
      <c r="AI125" s="166"/>
      <c r="AJ125" s="166"/>
      <c r="AK125" s="166"/>
      <c r="AL125" s="166"/>
      <c r="AM125" s="166"/>
      <c r="AN125" s="166"/>
      <c r="AW125" s="208"/>
    </row>
    <row r="126" spans="1:53">
      <c r="A126" s="137">
        <f t="shared" si="65"/>
        <v>43876</v>
      </c>
      <c r="B126" s="205">
        <f t="shared" si="55"/>
        <v>122</v>
      </c>
      <c r="C126" s="156">
        <f>C125+(C125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26" s="156">
        <f t="shared" si="88"/>
        <v>17539.584285600002</v>
      </c>
      <c r="E126" s="156">
        <f t="shared" si="89"/>
        <v>333252.10142640001</v>
      </c>
      <c r="G126" s="206">
        <f>IF(Input!$I$7="",0,IF(B126=Input!$I$7,Input!$I$6,IF(B126=Input!$I$7+12,Input!$I$6*(1+annual_incr_proptax),IF(B126=Input!$I$7+24,Input!$I$6*(1+annual_incr_proptax)^2,IF(B126=Input!$I$7+36,Input!$I$6*(1+annual_incr_proptax)^3,IF(B126=Input!$I$7+48,Input!$I$6*(1+annual_incr_proptax)^4,IF(B126=Input!$I$7+60,Input!$I$6*(1+annual_incr_proptax)^5,IF(B126=Input!$I$7+72,Input!$I$6*(1+annual_incr_proptax)^6,IF(B126=Input!$I$7+84,Input!$I$6*(1+annual_incr_proptax)^7,IF(B126=Input!$I$7+96,Input!$I$6*(1+annual_incr_proptax)^8,IF(B126=Input!$I$7+108,Input!$I$6*(1+annual_incr_proptax)^9,IF(B126=Input!$I$7+120,Input!$I$6*(1+annual_incr_proptax)^10,0))))))))))))</f>
        <v>66298.141749192684</v>
      </c>
      <c r="H126" s="156">
        <f>IF(Input!$I$10="",0,IF(B126=Input!$I$10,Input!$I$9,IF(B126=Input!$I$10+12,Input!$I$9*(1+annual_incr_ins),IF(B126=Input!$I$10+24,Input!$I$9*(1+annual_incr_ins)^2,IF(B126=Input!$I$10+36,Input!$I$9*(1+annual_incr_ins)^3,IF(B126=Input!$I$10+48,Input!$I$9*(1+annual_incr_ins)^4,IF(B126=Input!$I$10+60,Input!$I$9*(1+annual_incr_ins)^5,IF(B126=Input!$I$10+72,Input!$I$9*(1+annual_incr_ins)^6,IF(B126=Input!$I$10+84,Input!$I$9*(1+annual_incr_ins)^7,IF(B126=Input!$I$10+96,Input!$I$9*(1+annual_incr_ins)^8,IF(B126=Input!$I$10+108,Input!$I$9*(1+annual_incr_ins)^9,IF(B126=Input!$I$10+120,Input!$I$9*(1+annual_incr_ins)^10,0))))))))))))</f>
        <v>0</v>
      </c>
      <c r="I126" s="156">
        <f>IF(OR(Input!$I$13="",B126&lt;Input!$I$13),0,IF(AND(B126&gt;=Input!$I$13,B126&lt;Input!$I$13+12),Input!$I$12,IF(B126=Input!$I$13+12,Input!$I$12*(1+annual_incr_util),IF(B126=Input!$I$13+24,Input!$I$12*(1+annual_incr_util)^2,IF(B126=Input!$I$13+36,Input!$I$12*(1+annual_incr_util)^3,IF(B126=Input!$I$13+48,Input!$I$12*(1+annual_incr_util)^4,IF(B126=Input!$I$13+60,Input!$I$12*(1+annual_incr_util)^5,IF(B126=Input!$I$13+72,Input!$I$12*(1+annual_incr_util)^6,IF(B126=Input!$I$13+84,Input!$I$12*(1+annual_incr_util)^7,IF(B126=Input!$I$13+96,Input!$I$12*(1+annual_incr_util)^8,IF(B126=Input!$I$13+108,Input!$I$12*(1+annual_incr_util)^9,IF(B126=Input!$I$13+120,Input!$I$12*(1+annual_incr_util)^10,I125))))))))))))</f>
        <v>600.09921233707462</v>
      </c>
      <c r="J126" s="156">
        <f>IF(Input!$I$16="",0,IF(B126=Input!$I$16,Input!$I$15,IF(B126=Input!$I$16+12,Input!$I$15*(1+annual_incr_advtg),IF(B126=Input!$I$16+24,Input!$I$15*(1+annual_incr_advtg)^2,IF(B126=Input!$I$16+36,Input!$I$15*(1+annual_incr_advtg)^3,IF(B126=Input!$I$16+48,Input!$I$15*(1+annual_incr_advtg)^4,IF(B126=Input!$I$16+60,Input!$I$15*(1+annual_incr_advtg)^5,IF(B126=Input!$I$16+72,Input!$I$15*(1+annual_incr_advtg)^6,IF(B126=Input!$I$16+84,Input!$I$15*(1+annual_incr_advtg)^7,IF(B126=Input!$I$16+96,Input!$I$15*(1+annual_incr_advtg)^8,IF(B126=Input!$I$16+108,Input!$I$15*(1+annual_incr_advtg)^9,IF(B126=Input!$I$16+120,Input!$I$15*(1+annual_incr_advtg)^10,0))))))))))))</f>
        <v>0</v>
      </c>
      <c r="K126" s="156">
        <f>IF(Input!$I$19="",0,IF(B126=Input!$I$19,Input!$I$18,IF(B126=Input!$I$19+12,Input!$I$18*(1+annual_incr_other1),IF(B126=Input!$I$19+24,Input!$I$18*(1+annual_incr_other1)^2,IF(B126=Input!$I$19+36,Input!$I$18*(1+annual_incr_other1)^3,IF(B126=Input!$I$19+48,Input!$I$18*(1+annual_incr_other1)^4,IF(B126=Input!$I$19+60,Input!$I$18*(1+annual_incr_other1)^5,IF(B126=Input!$I$19+72,Input!$I$18*(1+annual_incr_other1)^6,IF(B126=Input!$I$19+84,Input!$I$18*(1+annual_incr_other1)^7,IF(B126=Input!$I$19+96,Input!$I$18*(1+annual_incr_other1)^8,IF(B126=Input!$I$19+108,Input!$I$18*(1+annual_incr_other1)^9,IF(B126=Input!$I$19+120,Input!$I$18*(1+annual_incr_other1)^10,0))))))))))))</f>
        <v>0</v>
      </c>
      <c r="L126" s="156">
        <f>IF(OR(Input!$I$22="",B126&lt;Input!$I$22),0,IF(AND(B126&gt;=Input!$I$22,B126&lt;Input!$I$22+12),Input!$I$21,IF(B126=Input!$I$22+12,Input!$I$21*(1+annual_incr_other2),IF(B126=Input!$I$22+24,Input!$I$21*(1+annual_incr_other2)^2,IF(B126=Input!$I$22+36,Input!$I$21*(1+annual_incr_other2)^3,IF(B126=Input!$I$22+48,Input!$I$21*(1+annual_incr_other2)^4,IF(B126=Input!$I$22+60,Input!$I$21*(1+annual_incr_other2)^5,IF(B126=Input!$I$22+72,Input!$I$21*(1+annual_incr_other2)^6,IF(B126=Input!$I$22+84,Input!$I$21*(1+annual_incr_other2)^7,IF(B126=Input!$I$22+96,Input!$I$21*(1+annual_incr_other2)^8,IF(B126=Input!$I$22+108,Input!$I$21*(1+annual_incr_other2)^9,IF(B126=Input!$I$22+120,Input!$I$21*(1+annual_incr_other2)^10,L125))))))))))))</f>
        <v>704.04649930799644</v>
      </c>
      <c r="M126" s="156">
        <f>IF(OR(Input!$I$27="",B126&lt;Input!$I$27),0,E126*mgmt_fee)</f>
        <v>2999.2689128376001</v>
      </c>
      <c r="N126" s="156">
        <f>IF(OR(Input!$I$29="",B126&lt;Input!$I$29),0,E126*repairs_maint)</f>
        <v>3665.7731156904001</v>
      </c>
      <c r="O126" s="162">
        <f>IF(Input!$I$31="",0,IF(OR(B126=Input!$I$31,B126=Input!$I$31+12,B126=Input!$I$31+24,B126=Input!$I$31+36,B126=Input!$I$31+48,B126=Input!$I$31+60,B126=Input!$I$31+72,B126=Input!$I$31+84,B126=Input!$I$31+96,B126=Input!$I$31+108,B126=Input!$I$31+120),E126*other_3,0))</f>
        <v>4265.6268982579204</v>
      </c>
      <c r="P126" s="207">
        <f t="shared" si="90"/>
        <v>78532.956387623679</v>
      </c>
      <c r="Q126" s="162">
        <f t="shared" si="91"/>
        <v>254719.14503877633</v>
      </c>
      <c r="AI126" s="166"/>
      <c r="AJ126" s="166"/>
      <c r="AK126" s="166"/>
      <c r="AL126" s="166"/>
      <c r="AM126" s="166"/>
      <c r="AN126" s="166"/>
    </row>
    <row r="127" spans="1:53">
      <c r="A127" s="137">
        <f t="shared" si="65"/>
        <v>43905</v>
      </c>
      <c r="B127" s="205">
        <f t="shared" si="55"/>
        <v>123</v>
      </c>
      <c r="C127" s="156">
        <f>C126+(C126*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27" s="156">
        <f t="shared" si="88"/>
        <v>17539.584285600002</v>
      </c>
      <c r="E127" s="156">
        <f t="shared" si="89"/>
        <v>333252.10142640001</v>
      </c>
      <c r="G127" s="206">
        <f>IF(Input!$I$7="",0,IF(B127=Input!$I$7,Input!$I$6,IF(B127=Input!$I$7+12,Input!$I$6*(1+annual_incr_proptax),IF(B127=Input!$I$7+24,Input!$I$6*(1+annual_incr_proptax)^2,IF(B127=Input!$I$7+36,Input!$I$6*(1+annual_incr_proptax)^3,IF(B127=Input!$I$7+48,Input!$I$6*(1+annual_incr_proptax)^4,IF(B127=Input!$I$7+60,Input!$I$6*(1+annual_incr_proptax)^5,IF(B127=Input!$I$7+72,Input!$I$6*(1+annual_incr_proptax)^6,IF(B127=Input!$I$7+84,Input!$I$6*(1+annual_incr_proptax)^7,IF(B127=Input!$I$7+96,Input!$I$6*(1+annual_incr_proptax)^8,IF(B127=Input!$I$7+108,Input!$I$6*(1+annual_incr_proptax)^9,IF(B127=Input!$I$7+120,Input!$I$6*(1+annual_incr_proptax)^10,0))))))))))))</f>
        <v>0</v>
      </c>
      <c r="H127" s="156">
        <f>IF(Input!$I$10="",0,IF(B127=Input!$I$10,Input!$I$9,IF(B127=Input!$I$10+12,Input!$I$9*(1+annual_incr_ins),IF(B127=Input!$I$10+24,Input!$I$9*(1+annual_incr_ins)^2,IF(B127=Input!$I$10+36,Input!$I$9*(1+annual_incr_ins)^3,IF(B127=Input!$I$10+48,Input!$I$9*(1+annual_incr_ins)^4,IF(B127=Input!$I$10+60,Input!$I$9*(1+annual_incr_ins)^5,IF(B127=Input!$I$10+72,Input!$I$9*(1+annual_incr_ins)^6,IF(B127=Input!$I$10+84,Input!$I$9*(1+annual_incr_ins)^7,IF(B127=Input!$I$10+96,Input!$I$9*(1+annual_incr_ins)^8,IF(B127=Input!$I$10+108,Input!$I$9*(1+annual_incr_ins)^9,IF(B127=Input!$I$10+120,Input!$I$9*(1+annual_incr_ins)^10,0))))))))))))</f>
        <v>0</v>
      </c>
      <c r="I127" s="156">
        <f>IF(OR(Input!$I$13="",B127&lt;Input!$I$13),0,IF(AND(B127&gt;=Input!$I$13,B127&lt;Input!$I$13+12),Input!$I$12,IF(B127=Input!$I$13+12,Input!$I$12*(1+annual_incr_util),IF(B127=Input!$I$13+24,Input!$I$12*(1+annual_incr_util)^2,IF(B127=Input!$I$13+36,Input!$I$12*(1+annual_incr_util)^3,IF(B127=Input!$I$13+48,Input!$I$12*(1+annual_incr_util)^4,IF(B127=Input!$I$13+60,Input!$I$12*(1+annual_incr_util)^5,IF(B127=Input!$I$13+72,Input!$I$12*(1+annual_incr_util)^6,IF(B127=Input!$I$13+84,Input!$I$12*(1+annual_incr_util)^7,IF(B127=Input!$I$13+96,Input!$I$12*(1+annual_incr_util)^8,IF(B127=Input!$I$13+108,Input!$I$12*(1+annual_incr_util)^9,IF(B127=Input!$I$13+120,Input!$I$12*(1+annual_incr_util)^10,I126))))))))))))</f>
        <v>600.09921233707462</v>
      </c>
      <c r="J127" s="156">
        <f>IF(Input!$I$16="",0,IF(B127=Input!$I$16,Input!$I$15,IF(B127=Input!$I$16+12,Input!$I$15*(1+annual_incr_advtg),IF(B127=Input!$I$16+24,Input!$I$15*(1+annual_incr_advtg)^2,IF(B127=Input!$I$16+36,Input!$I$15*(1+annual_incr_advtg)^3,IF(B127=Input!$I$16+48,Input!$I$15*(1+annual_incr_advtg)^4,IF(B127=Input!$I$16+60,Input!$I$15*(1+annual_incr_advtg)^5,IF(B127=Input!$I$16+72,Input!$I$15*(1+annual_incr_advtg)^6,IF(B127=Input!$I$16+84,Input!$I$15*(1+annual_incr_advtg)^7,IF(B127=Input!$I$16+96,Input!$I$15*(1+annual_incr_advtg)^8,IF(B127=Input!$I$16+108,Input!$I$15*(1+annual_incr_advtg)^9,IF(B127=Input!$I$16+120,Input!$I$15*(1+annual_incr_advtg)^10,0))))))))))))</f>
        <v>0</v>
      </c>
      <c r="K127" s="156">
        <f>IF(Input!$I$19="",0,IF(B127=Input!$I$19,Input!$I$18,IF(B127=Input!$I$19+12,Input!$I$18*(1+annual_incr_other1),IF(B127=Input!$I$19+24,Input!$I$18*(1+annual_incr_other1)^2,IF(B127=Input!$I$19+36,Input!$I$18*(1+annual_incr_other1)^3,IF(B127=Input!$I$19+48,Input!$I$18*(1+annual_incr_other1)^4,IF(B127=Input!$I$19+60,Input!$I$18*(1+annual_incr_other1)^5,IF(B127=Input!$I$19+72,Input!$I$18*(1+annual_incr_other1)^6,IF(B127=Input!$I$19+84,Input!$I$18*(1+annual_incr_other1)^7,IF(B127=Input!$I$19+96,Input!$I$18*(1+annual_incr_other1)^8,IF(B127=Input!$I$19+108,Input!$I$18*(1+annual_incr_other1)^9,IF(B127=Input!$I$19+120,Input!$I$18*(1+annual_incr_other1)^10,0))))))))))))</f>
        <v>0</v>
      </c>
      <c r="L127" s="156">
        <f>IF(OR(Input!$I$22="",B127&lt;Input!$I$22),0,IF(AND(B127&gt;=Input!$I$22,B127&lt;Input!$I$22+12),Input!$I$21,IF(B127=Input!$I$22+12,Input!$I$21*(1+annual_incr_other2),IF(B127=Input!$I$22+24,Input!$I$21*(1+annual_incr_other2)^2,IF(B127=Input!$I$22+36,Input!$I$21*(1+annual_incr_other2)^3,IF(B127=Input!$I$22+48,Input!$I$21*(1+annual_incr_other2)^4,IF(B127=Input!$I$22+60,Input!$I$21*(1+annual_incr_other2)^5,IF(B127=Input!$I$22+72,Input!$I$21*(1+annual_incr_other2)^6,IF(B127=Input!$I$22+84,Input!$I$21*(1+annual_incr_other2)^7,IF(B127=Input!$I$22+96,Input!$I$21*(1+annual_incr_other2)^8,IF(B127=Input!$I$22+108,Input!$I$21*(1+annual_incr_other2)^9,IF(B127=Input!$I$22+120,Input!$I$21*(1+annual_incr_other2)^10,L126))))))))))))</f>
        <v>704.04649930799644</v>
      </c>
      <c r="M127" s="156">
        <f>IF(OR(Input!$I$27="",B127&lt;Input!$I$27),0,E127*mgmt_fee)</f>
        <v>2999.2689128376001</v>
      </c>
      <c r="N127" s="156">
        <f>IF(OR(Input!$I$29="",B127&lt;Input!$I$29),0,E127*repairs_maint)</f>
        <v>3665.7731156904001</v>
      </c>
      <c r="O127" s="162">
        <f>IF(Input!$I$31="",0,IF(OR(B127=Input!$I$31,B127=Input!$I$31+12,B127=Input!$I$31+24,B127=Input!$I$31+36,B127=Input!$I$31+48,B127=Input!$I$31+60,B127=Input!$I$31+72,B127=Input!$I$31+84,B127=Input!$I$31+96,B127=Input!$I$31+108,B127=Input!$I$31+120),E127*other_3,0))</f>
        <v>0</v>
      </c>
      <c r="P127" s="207">
        <f t="shared" si="90"/>
        <v>7969.1877401730717</v>
      </c>
      <c r="Q127" s="162">
        <f t="shared" si="91"/>
        <v>325282.91368622694</v>
      </c>
      <c r="AI127" s="166"/>
      <c r="AJ127" s="166"/>
      <c r="AK127" s="166"/>
      <c r="AL127" s="166"/>
      <c r="AM127" s="166"/>
      <c r="AN127" s="166"/>
    </row>
    <row r="128" spans="1:53">
      <c r="A128" s="137">
        <f t="shared" si="65"/>
        <v>43936</v>
      </c>
      <c r="B128" s="205">
        <f t="shared" si="55"/>
        <v>124</v>
      </c>
      <c r="C128" s="156">
        <f>C127+(C127*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28" s="156">
        <f t="shared" si="88"/>
        <v>17539.584285600002</v>
      </c>
      <c r="E128" s="156">
        <f t="shared" si="89"/>
        <v>333252.10142640001</v>
      </c>
      <c r="G128" s="206">
        <f>IF(Input!$I$7="",0,IF(B128=Input!$I$7,Input!$I$6,IF(B128=Input!$I$7+12,Input!$I$6*(1+annual_incr_proptax),IF(B128=Input!$I$7+24,Input!$I$6*(1+annual_incr_proptax)^2,IF(B128=Input!$I$7+36,Input!$I$6*(1+annual_incr_proptax)^3,IF(B128=Input!$I$7+48,Input!$I$6*(1+annual_incr_proptax)^4,IF(B128=Input!$I$7+60,Input!$I$6*(1+annual_incr_proptax)^5,IF(B128=Input!$I$7+72,Input!$I$6*(1+annual_incr_proptax)^6,IF(B128=Input!$I$7+84,Input!$I$6*(1+annual_incr_proptax)^7,IF(B128=Input!$I$7+96,Input!$I$6*(1+annual_incr_proptax)^8,IF(B128=Input!$I$7+108,Input!$I$6*(1+annual_incr_proptax)^9,IF(B128=Input!$I$7+120,Input!$I$6*(1+annual_incr_proptax)^10,0))))))))))))</f>
        <v>0</v>
      </c>
      <c r="H128" s="156">
        <f>IF(Input!$I$10="",0,IF(B128=Input!$I$10,Input!$I$9,IF(B128=Input!$I$10+12,Input!$I$9*(1+annual_incr_ins),IF(B128=Input!$I$10+24,Input!$I$9*(1+annual_incr_ins)^2,IF(B128=Input!$I$10+36,Input!$I$9*(1+annual_incr_ins)^3,IF(B128=Input!$I$10+48,Input!$I$9*(1+annual_incr_ins)^4,IF(B128=Input!$I$10+60,Input!$I$9*(1+annual_incr_ins)^5,IF(B128=Input!$I$10+72,Input!$I$9*(1+annual_incr_ins)^6,IF(B128=Input!$I$10+84,Input!$I$9*(1+annual_incr_ins)^7,IF(B128=Input!$I$10+96,Input!$I$9*(1+annual_incr_ins)^8,IF(B128=Input!$I$10+108,Input!$I$9*(1+annual_incr_ins)^9,IF(B128=Input!$I$10+120,Input!$I$9*(1+annual_incr_ins)^10,0))))))))))))</f>
        <v>0</v>
      </c>
      <c r="I128" s="156">
        <f>IF(OR(Input!$I$13="",B128&lt;Input!$I$13),0,IF(AND(B128&gt;=Input!$I$13,B128&lt;Input!$I$13+12),Input!$I$12,IF(B128=Input!$I$13+12,Input!$I$12*(1+annual_incr_util),IF(B128=Input!$I$13+24,Input!$I$12*(1+annual_incr_util)^2,IF(B128=Input!$I$13+36,Input!$I$12*(1+annual_incr_util)^3,IF(B128=Input!$I$13+48,Input!$I$12*(1+annual_incr_util)^4,IF(B128=Input!$I$13+60,Input!$I$12*(1+annual_incr_util)^5,IF(B128=Input!$I$13+72,Input!$I$12*(1+annual_incr_util)^6,IF(B128=Input!$I$13+84,Input!$I$12*(1+annual_incr_util)^7,IF(B128=Input!$I$13+96,Input!$I$12*(1+annual_incr_util)^8,IF(B128=Input!$I$13+108,Input!$I$12*(1+annual_incr_util)^9,IF(B128=Input!$I$13+120,Input!$I$12*(1+annual_incr_util)^10,I127))))))))))))</f>
        <v>619.6024367380295</v>
      </c>
      <c r="J128" s="156">
        <f>IF(Input!$I$16="",0,IF(B128=Input!$I$16,Input!$I$15,IF(B128=Input!$I$16+12,Input!$I$15*(1+annual_incr_advtg),IF(B128=Input!$I$16+24,Input!$I$15*(1+annual_incr_advtg)^2,IF(B128=Input!$I$16+36,Input!$I$15*(1+annual_incr_advtg)^3,IF(B128=Input!$I$16+48,Input!$I$15*(1+annual_incr_advtg)^4,IF(B128=Input!$I$16+60,Input!$I$15*(1+annual_incr_advtg)^5,IF(B128=Input!$I$16+72,Input!$I$15*(1+annual_incr_advtg)^6,IF(B128=Input!$I$16+84,Input!$I$15*(1+annual_incr_advtg)^7,IF(B128=Input!$I$16+96,Input!$I$15*(1+annual_incr_advtg)^8,IF(B128=Input!$I$16+108,Input!$I$15*(1+annual_incr_advtg)^9,IF(B128=Input!$I$16+120,Input!$I$15*(1+annual_incr_advtg)^10,0))))))))))))</f>
        <v>0</v>
      </c>
      <c r="K128" s="156">
        <f>IF(Input!$I$19="",0,IF(B128=Input!$I$19,Input!$I$18,IF(B128=Input!$I$19+12,Input!$I$18*(1+annual_incr_other1),IF(B128=Input!$I$19+24,Input!$I$18*(1+annual_incr_other1)^2,IF(B128=Input!$I$19+36,Input!$I$18*(1+annual_incr_other1)^3,IF(B128=Input!$I$19+48,Input!$I$18*(1+annual_incr_other1)^4,IF(B128=Input!$I$19+60,Input!$I$18*(1+annual_incr_other1)^5,IF(B128=Input!$I$19+72,Input!$I$18*(1+annual_incr_other1)^6,IF(B128=Input!$I$19+84,Input!$I$18*(1+annual_incr_other1)^7,IF(B128=Input!$I$19+96,Input!$I$18*(1+annual_incr_other1)^8,IF(B128=Input!$I$19+108,Input!$I$18*(1+annual_incr_other1)^9,IF(B128=Input!$I$19+120,Input!$I$18*(1+annual_incr_other1)^10,0))))))))))))</f>
        <v>0</v>
      </c>
      <c r="L128" s="156">
        <f>IF(OR(Input!$I$22="",B128&lt;Input!$I$22),0,IF(AND(B128&gt;=Input!$I$22,B128&lt;Input!$I$22+12),Input!$I$21,IF(B128=Input!$I$22+12,Input!$I$21*(1+annual_incr_other2),IF(B128=Input!$I$22+24,Input!$I$21*(1+annual_incr_other2)^2,IF(B128=Input!$I$22+36,Input!$I$21*(1+annual_incr_other2)^3,IF(B128=Input!$I$22+48,Input!$I$21*(1+annual_incr_other2)^4,IF(B128=Input!$I$22+60,Input!$I$21*(1+annual_incr_other2)^5,IF(B128=Input!$I$22+72,Input!$I$21*(1+annual_incr_other2)^6,IF(B128=Input!$I$22+84,Input!$I$21*(1+annual_incr_other2)^7,IF(B128=Input!$I$22+96,Input!$I$21*(1+annual_incr_other2)^8,IF(B128=Input!$I$22+108,Input!$I$21*(1+annual_incr_other2)^9,IF(B128=Input!$I$22+120,Input!$I$21*(1+annual_incr_other2)^10,L127))))))))))))</f>
        <v>704.04649930799644</v>
      </c>
      <c r="M128" s="156">
        <f>IF(OR(Input!$I$27="",B128&lt;Input!$I$27),0,E128*mgmt_fee)</f>
        <v>2999.2689128376001</v>
      </c>
      <c r="N128" s="156">
        <f>IF(OR(Input!$I$29="",B128&lt;Input!$I$29),0,E128*repairs_maint)</f>
        <v>3665.7731156904001</v>
      </c>
      <c r="O128" s="162">
        <f>IF(Input!$I$31="",0,IF(OR(B128=Input!$I$31,B128=Input!$I$31+12,B128=Input!$I$31+24,B128=Input!$I$31+36,B128=Input!$I$31+48,B128=Input!$I$31+60,B128=Input!$I$31+72,B128=Input!$I$31+84,B128=Input!$I$31+96,B128=Input!$I$31+108,B128=Input!$I$31+120),E128*other_3,0))</f>
        <v>0</v>
      </c>
      <c r="P128" s="207">
        <f t="shared" si="90"/>
        <v>7988.6909645740261</v>
      </c>
      <c r="Q128" s="162">
        <f t="shared" si="91"/>
        <v>325263.41046182596</v>
      </c>
      <c r="AI128" s="166"/>
      <c r="AJ128" s="166"/>
      <c r="AK128" s="166"/>
      <c r="AL128" s="166"/>
      <c r="AM128" s="166"/>
      <c r="AN128" s="166"/>
    </row>
    <row r="129" spans="1:40">
      <c r="A129" s="137">
        <f t="shared" si="65"/>
        <v>43966</v>
      </c>
      <c r="B129" s="205">
        <f t="shared" si="55"/>
        <v>125</v>
      </c>
      <c r="C129" s="156">
        <f>C128+(C128*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29" s="156">
        <f t="shared" si="88"/>
        <v>17539.584285600002</v>
      </c>
      <c r="E129" s="156">
        <f t="shared" si="89"/>
        <v>333252.10142640001</v>
      </c>
      <c r="G129" s="206">
        <f>IF(Input!$I$7="",0,IF(B129=Input!$I$7,Input!$I$6,IF(B129=Input!$I$7+12,Input!$I$6*(1+annual_incr_proptax),IF(B129=Input!$I$7+24,Input!$I$6*(1+annual_incr_proptax)^2,IF(B129=Input!$I$7+36,Input!$I$6*(1+annual_incr_proptax)^3,IF(B129=Input!$I$7+48,Input!$I$6*(1+annual_incr_proptax)^4,IF(B129=Input!$I$7+60,Input!$I$6*(1+annual_incr_proptax)^5,IF(B129=Input!$I$7+72,Input!$I$6*(1+annual_incr_proptax)^6,IF(B129=Input!$I$7+84,Input!$I$6*(1+annual_incr_proptax)^7,IF(B129=Input!$I$7+96,Input!$I$6*(1+annual_incr_proptax)^8,IF(B129=Input!$I$7+108,Input!$I$6*(1+annual_incr_proptax)^9,IF(B129=Input!$I$7+120,Input!$I$6*(1+annual_incr_proptax)^10,0))))))))))))</f>
        <v>0</v>
      </c>
      <c r="H129" s="156">
        <f>IF(Input!$I$10="",0,IF(B129=Input!$I$10,Input!$I$9,IF(B129=Input!$I$10+12,Input!$I$9*(1+annual_incr_ins),IF(B129=Input!$I$10+24,Input!$I$9*(1+annual_incr_ins)^2,IF(B129=Input!$I$10+36,Input!$I$9*(1+annual_incr_ins)^3,IF(B129=Input!$I$10+48,Input!$I$9*(1+annual_incr_ins)^4,IF(B129=Input!$I$10+60,Input!$I$9*(1+annual_incr_ins)^5,IF(B129=Input!$I$10+72,Input!$I$9*(1+annual_incr_ins)^6,IF(B129=Input!$I$10+84,Input!$I$9*(1+annual_incr_ins)^7,IF(B129=Input!$I$10+96,Input!$I$9*(1+annual_incr_ins)^8,IF(B129=Input!$I$10+108,Input!$I$9*(1+annual_incr_ins)^9,IF(B129=Input!$I$10+120,Input!$I$9*(1+annual_incr_ins)^10,0))))))))))))</f>
        <v>0</v>
      </c>
      <c r="I129" s="156">
        <f>IF(OR(Input!$I$13="",B129&lt;Input!$I$13),0,IF(AND(B129&gt;=Input!$I$13,B129&lt;Input!$I$13+12),Input!$I$12,IF(B129=Input!$I$13+12,Input!$I$12*(1+annual_incr_util),IF(B129=Input!$I$13+24,Input!$I$12*(1+annual_incr_util)^2,IF(B129=Input!$I$13+36,Input!$I$12*(1+annual_incr_util)^3,IF(B129=Input!$I$13+48,Input!$I$12*(1+annual_incr_util)^4,IF(B129=Input!$I$13+60,Input!$I$12*(1+annual_incr_util)^5,IF(B129=Input!$I$13+72,Input!$I$12*(1+annual_incr_util)^6,IF(B129=Input!$I$13+84,Input!$I$12*(1+annual_incr_util)^7,IF(B129=Input!$I$13+96,Input!$I$12*(1+annual_incr_util)^8,IF(B129=Input!$I$13+108,Input!$I$12*(1+annual_incr_util)^9,IF(B129=Input!$I$13+120,Input!$I$12*(1+annual_incr_util)^10,I128))))))))))))</f>
        <v>619.6024367380295</v>
      </c>
      <c r="J129" s="156">
        <f>IF(Input!$I$16="",0,IF(B129=Input!$I$16,Input!$I$15,IF(B129=Input!$I$16+12,Input!$I$15*(1+annual_incr_advtg),IF(B129=Input!$I$16+24,Input!$I$15*(1+annual_incr_advtg)^2,IF(B129=Input!$I$16+36,Input!$I$15*(1+annual_incr_advtg)^3,IF(B129=Input!$I$16+48,Input!$I$15*(1+annual_incr_advtg)^4,IF(B129=Input!$I$16+60,Input!$I$15*(1+annual_incr_advtg)^5,IF(B129=Input!$I$16+72,Input!$I$15*(1+annual_incr_advtg)^6,IF(B129=Input!$I$16+84,Input!$I$15*(1+annual_incr_advtg)^7,IF(B129=Input!$I$16+96,Input!$I$15*(1+annual_incr_advtg)^8,IF(B129=Input!$I$16+108,Input!$I$15*(1+annual_incr_advtg)^9,IF(B129=Input!$I$16+120,Input!$I$15*(1+annual_incr_advtg)^10,0))))))))))))</f>
        <v>0</v>
      </c>
      <c r="K129" s="156">
        <f>IF(Input!$I$19="",0,IF(B129=Input!$I$19,Input!$I$18,IF(B129=Input!$I$19+12,Input!$I$18*(1+annual_incr_other1),IF(B129=Input!$I$19+24,Input!$I$18*(1+annual_incr_other1)^2,IF(B129=Input!$I$19+36,Input!$I$18*(1+annual_incr_other1)^3,IF(B129=Input!$I$19+48,Input!$I$18*(1+annual_incr_other1)^4,IF(B129=Input!$I$19+60,Input!$I$18*(1+annual_incr_other1)^5,IF(B129=Input!$I$19+72,Input!$I$18*(1+annual_incr_other1)^6,IF(B129=Input!$I$19+84,Input!$I$18*(1+annual_incr_other1)^7,IF(B129=Input!$I$19+96,Input!$I$18*(1+annual_incr_other1)^8,IF(B129=Input!$I$19+108,Input!$I$18*(1+annual_incr_other1)^9,IF(B129=Input!$I$19+120,Input!$I$18*(1+annual_incr_other1)^10,0))))))))))))</f>
        <v>6661.0992821325508</v>
      </c>
      <c r="L129" s="156">
        <f>IF(OR(Input!$I$22="",B129&lt;Input!$I$22),0,IF(AND(B129&gt;=Input!$I$22,B129&lt;Input!$I$22+12),Input!$I$21,IF(B129=Input!$I$22+12,Input!$I$21*(1+annual_incr_other2),IF(B129=Input!$I$22+24,Input!$I$21*(1+annual_incr_other2)^2,IF(B129=Input!$I$22+36,Input!$I$21*(1+annual_incr_other2)^3,IF(B129=Input!$I$22+48,Input!$I$21*(1+annual_incr_other2)^4,IF(B129=Input!$I$22+60,Input!$I$21*(1+annual_incr_other2)^5,IF(B129=Input!$I$22+72,Input!$I$21*(1+annual_incr_other2)^6,IF(B129=Input!$I$22+84,Input!$I$21*(1+annual_incr_other2)^7,IF(B129=Input!$I$22+96,Input!$I$21*(1+annual_incr_other2)^8,IF(B129=Input!$I$22+108,Input!$I$21*(1+annual_incr_other2)^9,IF(B129=Input!$I$22+120,Input!$I$21*(1+annual_incr_other2)^10,L128))))))))))))</f>
        <v>704.04649930799644</v>
      </c>
      <c r="M129" s="156">
        <f>IF(OR(Input!$I$27="",B129&lt;Input!$I$27),0,E129*mgmt_fee)</f>
        <v>2999.2689128376001</v>
      </c>
      <c r="N129" s="156">
        <f>IF(OR(Input!$I$29="",B129&lt;Input!$I$29),0,E129*repairs_maint)</f>
        <v>3665.7731156904001</v>
      </c>
      <c r="O129" s="162">
        <f>IF(Input!$I$31="",0,IF(OR(B129=Input!$I$31,B129=Input!$I$31+12,B129=Input!$I$31+24,B129=Input!$I$31+36,B129=Input!$I$31+48,B129=Input!$I$31+60,B129=Input!$I$31+72,B129=Input!$I$31+84,B129=Input!$I$31+96,B129=Input!$I$31+108,B129=Input!$I$31+120),E129*other_3,0))</f>
        <v>0</v>
      </c>
      <c r="P129" s="207">
        <f t="shared" si="90"/>
        <v>14649.790246706576</v>
      </c>
      <c r="Q129" s="162">
        <f t="shared" si="91"/>
        <v>318602.31117969344</v>
      </c>
      <c r="AI129" s="166"/>
      <c r="AJ129" s="166"/>
      <c r="AK129" s="166"/>
      <c r="AL129" s="166"/>
      <c r="AM129" s="166"/>
      <c r="AN129" s="166"/>
    </row>
    <row r="130" spans="1:40">
      <c r="A130" s="137">
        <f t="shared" si="65"/>
        <v>43997</v>
      </c>
      <c r="B130" s="205">
        <f t="shared" si="55"/>
        <v>126</v>
      </c>
      <c r="C130" s="156">
        <f>C129+(C129*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30" s="156">
        <f t="shared" si="88"/>
        <v>17539.584285600002</v>
      </c>
      <c r="E130" s="156">
        <f t="shared" si="89"/>
        <v>333252.10142640001</v>
      </c>
      <c r="G130" s="206">
        <f>IF(Input!$I$7="",0,IF(B130=Input!$I$7,Input!$I$6,IF(B130=Input!$I$7+12,Input!$I$6*(1+annual_incr_proptax),IF(B130=Input!$I$7+24,Input!$I$6*(1+annual_incr_proptax)^2,IF(B130=Input!$I$7+36,Input!$I$6*(1+annual_incr_proptax)^3,IF(B130=Input!$I$7+48,Input!$I$6*(1+annual_incr_proptax)^4,IF(B130=Input!$I$7+60,Input!$I$6*(1+annual_incr_proptax)^5,IF(B130=Input!$I$7+72,Input!$I$6*(1+annual_incr_proptax)^6,IF(B130=Input!$I$7+84,Input!$I$6*(1+annual_incr_proptax)^7,IF(B130=Input!$I$7+96,Input!$I$6*(1+annual_incr_proptax)^8,IF(B130=Input!$I$7+108,Input!$I$6*(1+annual_incr_proptax)^9,IF(B130=Input!$I$7+120,Input!$I$6*(1+annual_incr_proptax)^10,0))))))))))))</f>
        <v>0</v>
      </c>
      <c r="H130" s="156">
        <f>IF(Input!$I$10="",0,IF(B130=Input!$I$10,Input!$I$9,IF(B130=Input!$I$10+12,Input!$I$9*(1+annual_incr_ins),IF(B130=Input!$I$10+24,Input!$I$9*(1+annual_incr_ins)^2,IF(B130=Input!$I$10+36,Input!$I$9*(1+annual_incr_ins)^3,IF(B130=Input!$I$10+48,Input!$I$9*(1+annual_incr_ins)^4,IF(B130=Input!$I$10+60,Input!$I$9*(1+annual_incr_ins)^5,IF(B130=Input!$I$10+72,Input!$I$9*(1+annual_incr_ins)^6,IF(B130=Input!$I$10+84,Input!$I$9*(1+annual_incr_ins)^7,IF(B130=Input!$I$10+96,Input!$I$9*(1+annual_incr_ins)^8,IF(B130=Input!$I$10+108,Input!$I$9*(1+annual_incr_ins)^9,IF(B130=Input!$I$10+120,Input!$I$9*(1+annual_incr_ins)^10,0))))))))))))</f>
        <v>15739.812391041276</v>
      </c>
      <c r="I130" s="156">
        <f>IF(OR(Input!$I$13="",B130&lt;Input!$I$13),0,IF(AND(B130&gt;=Input!$I$13,B130&lt;Input!$I$13+12),Input!$I$12,IF(B130=Input!$I$13+12,Input!$I$12*(1+annual_incr_util),IF(B130=Input!$I$13+24,Input!$I$12*(1+annual_incr_util)^2,IF(B130=Input!$I$13+36,Input!$I$12*(1+annual_incr_util)^3,IF(B130=Input!$I$13+48,Input!$I$12*(1+annual_incr_util)^4,IF(B130=Input!$I$13+60,Input!$I$12*(1+annual_incr_util)^5,IF(B130=Input!$I$13+72,Input!$I$12*(1+annual_incr_util)^6,IF(B130=Input!$I$13+84,Input!$I$12*(1+annual_incr_util)^7,IF(B130=Input!$I$13+96,Input!$I$12*(1+annual_incr_util)^8,IF(B130=Input!$I$13+108,Input!$I$12*(1+annual_incr_util)^9,IF(B130=Input!$I$13+120,Input!$I$12*(1+annual_incr_util)^10,I129))))))))))))</f>
        <v>619.6024367380295</v>
      </c>
      <c r="J130" s="156">
        <f>IF(Input!$I$16="",0,IF(B130=Input!$I$16,Input!$I$15,IF(B130=Input!$I$16+12,Input!$I$15*(1+annual_incr_advtg),IF(B130=Input!$I$16+24,Input!$I$15*(1+annual_incr_advtg)^2,IF(B130=Input!$I$16+36,Input!$I$15*(1+annual_incr_advtg)^3,IF(B130=Input!$I$16+48,Input!$I$15*(1+annual_incr_advtg)^4,IF(B130=Input!$I$16+60,Input!$I$15*(1+annual_incr_advtg)^5,IF(B130=Input!$I$16+72,Input!$I$15*(1+annual_incr_advtg)^6,IF(B130=Input!$I$16+84,Input!$I$15*(1+annual_incr_advtg)^7,IF(B130=Input!$I$16+96,Input!$I$15*(1+annual_incr_advtg)^8,IF(B130=Input!$I$16+108,Input!$I$15*(1+annual_incr_advtg)^9,IF(B130=Input!$I$16+120,Input!$I$15*(1+annual_incr_advtg)^10,0))))))))))))</f>
        <v>0</v>
      </c>
      <c r="K130" s="156">
        <f>IF(Input!$I$19="",0,IF(B130=Input!$I$19,Input!$I$18,IF(B130=Input!$I$19+12,Input!$I$18*(1+annual_incr_other1),IF(B130=Input!$I$19+24,Input!$I$18*(1+annual_incr_other1)^2,IF(B130=Input!$I$19+36,Input!$I$18*(1+annual_incr_other1)^3,IF(B130=Input!$I$19+48,Input!$I$18*(1+annual_incr_other1)^4,IF(B130=Input!$I$19+60,Input!$I$18*(1+annual_incr_other1)^5,IF(B130=Input!$I$19+72,Input!$I$18*(1+annual_incr_other1)^6,IF(B130=Input!$I$19+84,Input!$I$18*(1+annual_incr_other1)^7,IF(B130=Input!$I$19+96,Input!$I$18*(1+annual_incr_other1)^8,IF(B130=Input!$I$19+108,Input!$I$18*(1+annual_incr_other1)^9,IF(B130=Input!$I$19+120,Input!$I$18*(1+annual_incr_other1)^10,0))))))))))))</f>
        <v>0</v>
      </c>
      <c r="L130" s="156">
        <f>IF(OR(Input!$I$22="",B130&lt;Input!$I$22),0,IF(AND(B130&gt;=Input!$I$22,B130&lt;Input!$I$22+12),Input!$I$21,IF(B130=Input!$I$22+12,Input!$I$21*(1+annual_incr_other2),IF(B130=Input!$I$22+24,Input!$I$21*(1+annual_incr_other2)^2,IF(B130=Input!$I$22+36,Input!$I$21*(1+annual_incr_other2)^3,IF(B130=Input!$I$22+48,Input!$I$21*(1+annual_incr_other2)^4,IF(B130=Input!$I$22+60,Input!$I$21*(1+annual_incr_other2)^5,IF(B130=Input!$I$22+72,Input!$I$21*(1+annual_incr_other2)^6,IF(B130=Input!$I$22+84,Input!$I$21*(1+annual_incr_other2)^7,IF(B130=Input!$I$22+96,Input!$I$21*(1+annual_incr_other2)^8,IF(B130=Input!$I$22+108,Input!$I$21*(1+annual_incr_other2)^9,IF(B130=Input!$I$22+120,Input!$I$21*(1+annual_incr_other2)^10,L129))))))))))))</f>
        <v>704.04649930799644</v>
      </c>
      <c r="M130" s="156">
        <f>IF(OR(Input!$I$27="",B130&lt;Input!$I$27),0,E130*mgmt_fee)</f>
        <v>2999.2689128376001</v>
      </c>
      <c r="N130" s="156">
        <f>IF(OR(Input!$I$29="",B130&lt;Input!$I$29),0,E130*repairs_maint)</f>
        <v>3665.7731156904001</v>
      </c>
      <c r="O130" s="162">
        <f>IF(Input!$I$31="",0,IF(OR(B130=Input!$I$31,B130=Input!$I$31+12,B130=Input!$I$31+24,B130=Input!$I$31+36,B130=Input!$I$31+48,B130=Input!$I$31+60,B130=Input!$I$31+72,B130=Input!$I$31+84,B130=Input!$I$31+96,B130=Input!$I$31+108,B130=Input!$I$31+120),E130*other_3,0))</f>
        <v>0</v>
      </c>
      <c r="P130" s="207">
        <f t="shared" si="90"/>
        <v>23728.503355615303</v>
      </c>
      <c r="Q130" s="162">
        <f t="shared" si="91"/>
        <v>309523.5980707847</v>
      </c>
      <c r="AI130" s="166"/>
      <c r="AJ130" s="166"/>
      <c r="AK130" s="166"/>
      <c r="AL130" s="166"/>
      <c r="AM130" s="166"/>
      <c r="AN130" s="166"/>
    </row>
    <row r="131" spans="1:40">
      <c r="A131" s="137">
        <f t="shared" si="65"/>
        <v>44027</v>
      </c>
      <c r="B131" s="205">
        <f t="shared" si="55"/>
        <v>127</v>
      </c>
      <c r="C131" s="156">
        <f>C130+(C130*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31" s="156">
        <f t="shared" si="88"/>
        <v>17539.584285600002</v>
      </c>
      <c r="E131" s="156">
        <f t="shared" si="89"/>
        <v>333252.10142640001</v>
      </c>
      <c r="G131" s="206">
        <f>IF(Input!$I$7="",0,IF(B131=Input!$I$7,Input!$I$6,IF(B131=Input!$I$7+12,Input!$I$6*(1+annual_incr_proptax),IF(B131=Input!$I$7+24,Input!$I$6*(1+annual_incr_proptax)^2,IF(B131=Input!$I$7+36,Input!$I$6*(1+annual_incr_proptax)^3,IF(B131=Input!$I$7+48,Input!$I$6*(1+annual_incr_proptax)^4,IF(B131=Input!$I$7+60,Input!$I$6*(1+annual_incr_proptax)^5,IF(B131=Input!$I$7+72,Input!$I$6*(1+annual_incr_proptax)^6,IF(B131=Input!$I$7+84,Input!$I$6*(1+annual_incr_proptax)^7,IF(B131=Input!$I$7+96,Input!$I$6*(1+annual_incr_proptax)^8,IF(B131=Input!$I$7+108,Input!$I$6*(1+annual_incr_proptax)^9,IF(B131=Input!$I$7+120,Input!$I$6*(1+annual_incr_proptax)^10,0))))))))))))</f>
        <v>0</v>
      </c>
      <c r="H131" s="156">
        <f>IF(Input!$I$10="",0,IF(B131=Input!$I$10,Input!$I$9,IF(B131=Input!$I$10+12,Input!$I$9*(1+annual_incr_ins),IF(B131=Input!$I$10+24,Input!$I$9*(1+annual_incr_ins)^2,IF(B131=Input!$I$10+36,Input!$I$9*(1+annual_incr_ins)^3,IF(B131=Input!$I$10+48,Input!$I$9*(1+annual_incr_ins)^4,IF(B131=Input!$I$10+60,Input!$I$9*(1+annual_incr_ins)^5,IF(B131=Input!$I$10+72,Input!$I$9*(1+annual_incr_ins)^6,IF(B131=Input!$I$10+84,Input!$I$9*(1+annual_incr_ins)^7,IF(B131=Input!$I$10+96,Input!$I$9*(1+annual_incr_ins)^8,IF(B131=Input!$I$10+108,Input!$I$9*(1+annual_incr_ins)^9,IF(B131=Input!$I$10+120,Input!$I$9*(1+annual_incr_ins)^10,0))))))))))))</f>
        <v>0</v>
      </c>
      <c r="I131" s="156">
        <f>IF(OR(Input!$I$13="",B131&lt;Input!$I$13),0,IF(AND(B131&gt;=Input!$I$13,B131&lt;Input!$I$13+12),Input!$I$12,IF(B131=Input!$I$13+12,Input!$I$12*(1+annual_incr_util),IF(B131=Input!$I$13+24,Input!$I$12*(1+annual_incr_util)^2,IF(B131=Input!$I$13+36,Input!$I$12*(1+annual_incr_util)^3,IF(B131=Input!$I$13+48,Input!$I$12*(1+annual_incr_util)^4,IF(B131=Input!$I$13+60,Input!$I$12*(1+annual_incr_util)^5,IF(B131=Input!$I$13+72,Input!$I$12*(1+annual_incr_util)^6,IF(B131=Input!$I$13+84,Input!$I$12*(1+annual_incr_util)^7,IF(B131=Input!$I$13+96,Input!$I$12*(1+annual_incr_util)^8,IF(B131=Input!$I$13+108,Input!$I$12*(1+annual_incr_util)^9,IF(B131=Input!$I$13+120,Input!$I$12*(1+annual_incr_util)^10,I130))))))))))))</f>
        <v>619.6024367380295</v>
      </c>
      <c r="J131" s="156">
        <f>IF(Input!$I$16="",0,IF(B131=Input!$I$16,Input!$I$15,IF(B131=Input!$I$16+12,Input!$I$15*(1+annual_incr_advtg),IF(B131=Input!$I$16+24,Input!$I$15*(1+annual_incr_advtg)^2,IF(B131=Input!$I$16+36,Input!$I$15*(1+annual_incr_advtg)^3,IF(B131=Input!$I$16+48,Input!$I$15*(1+annual_incr_advtg)^4,IF(B131=Input!$I$16+60,Input!$I$15*(1+annual_incr_advtg)^5,IF(B131=Input!$I$16+72,Input!$I$15*(1+annual_incr_advtg)^6,IF(B131=Input!$I$16+84,Input!$I$15*(1+annual_incr_advtg)^7,IF(B131=Input!$I$16+96,Input!$I$15*(1+annual_incr_advtg)^8,IF(B131=Input!$I$16+108,Input!$I$15*(1+annual_incr_advtg)^9,IF(B131=Input!$I$16+120,Input!$I$15*(1+annual_incr_advtg)^10,0))))))))))))</f>
        <v>19962.499330788218</v>
      </c>
      <c r="K131" s="156">
        <f>IF(Input!$I$19="",0,IF(B131=Input!$I$19,Input!$I$18,IF(B131=Input!$I$19+12,Input!$I$18*(1+annual_incr_other1),IF(B131=Input!$I$19+24,Input!$I$18*(1+annual_incr_other1)^2,IF(B131=Input!$I$19+36,Input!$I$18*(1+annual_incr_other1)^3,IF(B131=Input!$I$19+48,Input!$I$18*(1+annual_incr_other1)^4,IF(B131=Input!$I$19+60,Input!$I$18*(1+annual_incr_other1)^5,IF(B131=Input!$I$19+72,Input!$I$18*(1+annual_incr_other1)^6,IF(B131=Input!$I$19+84,Input!$I$18*(1+annual_incr_other1)^7,IF(B131=Input!$I$19+96,Input!$I$18*(1+annual_incr_other1)^8,IF(B131=Input!$I$19+108,Input!$I$18*(1+annual_incr_other1)^9,IF(B131=Input!$I$19+120,Input!$I$18*(1+annual_incr_other1)^10,0))))))))))))</f>
        <v>0</v>
      </c>
      <c r="L131" s="156">
        <f>IF(OR(Input!$I$22="",B131&lt;Input!$I$22),0,IF(AND(B131&gt;=Input!$I$22,B131&lt;Input!$I$22+12),Input!$I$21,IF(B131=Input!$I$22+12,Input!$I$21*(1+annual_incr_other2),IF(B131=Input!$I$22+24,Input!$I$21*(1+annual_incr_other2)^2,IF(B131=Input!$I$22+36,Input!$I$21*(1+annual_incr_other2)^3,IF(B131=Input!$I$22+48,Input!$I$21*(1+annual_incr_other2)^4,IF(B131=Input!$I$22+60,Input!$I$21*(1+annual_incr_other2)^5,IF(B131=Input!$I$22+72,Input!$I$21*(1+annual_incr_other2)^6,IF(B131=Input!$I$22+84,Input!$I$21*(1+annual_incr_other2)^7,IF(B131=Input!$I$22+96,Input!$I$21*(1+annual_incr_other2)^8,IF(B131=Input!$I$22+108,Input!$I$21*(1+annual_incr_other2)^9,IF(B131=Input!$I$22+120,Input!$I$21*(1+annual_incr_other2)^10,L130))))))))))))</f>
        <v>704.04649930799644</v>
      </c>
      <c r="M131" s="156">
        <f>IF(OR(Input!$I$27="",B131&lt;Input!$I$27),0,E131*mgmt_fee)</f>
        <v>2999.2689128376001</v>
      </c>
      <c r="N131" s="156">
        <f>IF(OR(Input!$I$29="",B131&lt;Input!$I$29),0,E131*repairs_maint)</f>
        <v>3665.7731156904001</v>
      </c>
      <c r="O131" s="162">
        <f>IF(Input!$I$31="",0,IF(OR(B131=Input!$I$31,B131=Input!$I$31+12,B131=Input!$I$31+24,B131=Input!$I$31+36,B131=Input!$I$31+48,B131=Input!$I$31+60,B131=Input!$I$31+72,B131=Input!$I$31+84,B131=Input!$I$31+96,B131=Input!$I$31+108,B131=Input!$I$31+120),E131*other_3,0))</f>
        <v>0</v>
      </c>
      <c r="P131" s="207">
        <f t="shared" si="90"/>
        <v>27951.190295362245</v>
      </c>
      <c r="Q131" s="162">
        <f t="shared" si="91"/>
        <v>305300.91113103775</v>
      </c>
      <c r="AI131" s="166"/>
      <c r="AJ131" s="166"/>
      <c r="AK131" s="166"/>
      <c r="AL131" s="166"/>
      <c r="AM131" s="166"/>
      <c r="AN131" s="166"/>
    </row>
    <row r="132" spans="1:40">
      <c r="A132" s="137">
        <f t="shared" si="65"/>
        <v>44058</v>
      </c>
      <c r="B132" s="205">
        <f t="shared" si="55"/>
        <v>128</v>
      </c>
      <c r="C132" s="156">
        <f>C131+(C131*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32" s="156">
        <f t="shared" si="88"/>
        <v>17539.584285600002</v>
      </c>
      <c r="E132" s="156">
        <f t="shared" si="89"/>
        <v>333252.10142640001</v>
      </c>
      <c r="G132" s="206">
        <f>IF(Input!$I$7="",0,IF(B132=Input!$I$7,Input!$I$6,IF(B132=Input!$I$7+12,Input!$I$6*(1+annual_incr_proptax),IF(B132=Input!$I$7+24,Input!$I$6*(1+annual_incr_proptax)^2,IF(B132=Input!$I$7+36,Input!$I$6*(1+annual_incr_proptax)^3,IF(B132=Input!$I$7+48,Input!$I$6*(1+annual_incr_proptax)^4,IF(B132=Input!$I$7+60,Input!$I$6*(1+annual_incr_proptax)^5,IF(B132=Input!$I$7+72,Input!$I$6*(1+annual_incr_proptax)^6,IF(B132=Input!$I$7+84,Input!$I$6*(1+annual_incr_proptax)^7,IF(B132=Input!$I$7+96,Input!$I$6*(1+annual_incr_proptax)^8,IF(B132=Input!$I$7+108,Input!$I$6*(1+annual_incr_proptax)^9,IF(B132=Input!$I$7+120,Input!$I$6*(1+annual_incr_proptax)^10,0))))))))))))</f>
        <v>0</v>
      </c>
      <c r="H132" s="156">
        <f>IF(Input!$I$10="",0,IF(B132=Input!$I$10,Input!$I$9,IF(B132=Input!$I$10+12,Input!$I$9*(1+annual_incr_ins),IF(B132=Input!$I$10+24,Input!$I$9*(1+annual_incr_ins)^2,IF(B132=Input!$I$10+36,Input!$I$9*(1+annual_incr_ins)^3,IF(B132=Input!$I$10+48,Input!$I$9*(1+annual_incr_ins)^4,IF(B132=Input!$I$10+60,Input!$I$9*(1+annual_incr_ins)^5,IF(B132=Input!$I$10+72,Input!$I$9*(1+annual_incr_ins)^6,IF(B132=Input!$I$10+84,Input!$I$9*(1+annual_incr_ins)^7,IF(B132=Input!$I$10+96,Input!$I$9*(1+annual_incr_ins)^8,IF(B132=Input!$I$10+108,Input!$I$9*(1+annual_incr_ins)^9,IF(B132=Input!$I$10+120,Input!$I$9*(1+annual_incr_ins)^10,0))))))))))))</f>
        <v>0</v>
      </c>
      <c r="I132" s="156">
        <f>IF(OR(Input!$I$13="",B132&lt;Input!$I$13),0,IF(AND(B132&gt;=Input!$I$13,B132&lt;Input!$I$13+12),Input!$I$12,IF(B132=Input!$I$13+12,Input!$I$12*(1+annual_incr_util),IF(B132=Input!$I$13+24,Input!$I$12*(1+annual_incr_util)^2,IF(B132=Input!$I$13+36,Input!$I$12*(1+annual_incr_util)^3,IF(B132=Input!$I$13+48,Input!$I$12*(1+annual_incr_util)^4,IF(B132=Input!$I$13+60,Input!$I$12*(1+annual_incr_util)^5,IF(B132=Input!$I$13+72,Input!$I$12*(1+annual_incr_util)^6,IF(B132=Input!$I$13+84,Input!$I$12*(1+annual_incr_util)^7,IF(B132=Input!$I$13+96,Input!$I$12*(1+annual_incr_util)^8,IF(B132=Input!$I$13+108,Input!$I$12*(1+annual_incr_util)^9,IF(B132=Input!$I$13+120,Input!$I$12*(1+annual_incr_util)^10,I131))))))))))))</f>
        <v>619.6024367380295</v>
      </c>
      <c r="J132" s="156">
        <f>IF(Input!$I$16="",0,IF(B132=Input!$I$16,Input!$I$15,IF(B132=Input!$I$16+12,Input!$I$15*(1+annual_incr_advtg),IF(B132=Input!$I$16+24,Input!$I$15*(1+annual_incr_advtg)^2,IF(B132=Input!$I$16+36,Input!$I$15*(1+annual_incr_advtg)^3,IF(B132=Input!$I$16+48,Input!$I$15*(1+annual_incr_advtg)^4,IF(B132=Input!$I$16+60,Input!$I$15*(1+annual_incr_advtg)^5,IF(B132=Input!$I$16+72,Input!$I$15*(1+annual_incr_advtg)^6,IF(B132=Input!$I$16+84,Input!$I$15*(1+annual_incr_advtg)^7,IF(B132=Input!$I$16+96,Input!$I$15*(1+annual_incr_advtg)^8,IF(B132=Input!$I$16+108,Input!$I$15*(1+annual_incr_advtg)^9,IF(B132=Input!$I$16+120,Input!$I$15*(1+annual_incr_advtg)^10,0))))))))))))</f>
        <v>0</v>
      </c>
      <c r="K132" s="156">
        <f>IF(Input!$I$19="",0,IF(B132=Input!$I$19,Input!$I$18,IF(B132=Input!$I$19+12,Input!$I$18*(1+annual_incr_other1),IF(B132=Input!$I$19+24,Input!$I$18*(1+annual_incr_other1)^2,IF(B132=Input!$I$19+36,Input!$I$18*(1+annual_incr_other1)^3,IF(B132=Input!$I$19+48,Input!$I$18*(1+annual_incr_other1)^4,IF(B132=Input!$I$19+60,Input!$I$18*(1+annual_incr_other1)^5,IF(B132=Input!$I$19+72,Input!$I$18*(1+annual_incr_other1)^6,IF(B132=Input!$I$19+84,Input!$I$18*(1+annual_incr_other1)^7,IF(B132=Input!$I$19+96,Input!$I$18*(1+annual_incr_other1)^8,IF(B132=Input!$I$19+108,Input!$I$18*(1+annual_incr_other1)^9,IF(B132=Input!$I$19+120,Input!$I$18*(1+annual_incr_other1)^10,0))))))))))))</f>
        <v>0</v>
      </c>
      <c r="L132" s="156">
        <f>IF(OR(Input!$I$22="",B132&lt;Input!$I$22),0,IF(AND(B132&gt;=Input!$I$22,B132&lt;Input!$I$22+12),Input!$I$21,IF(B132=Input!$I$22+12,Input!$I$21*(1+annual_incr_other2),IF(B132=Input!$I$22+24,Input!$I$21*(1+annual_incr_other2)^2,IF(B132=Input!$I$22+36,Input!$I$21*(1+annual_incr_other2)^3,IF(B132=Input!$I$22+48,Input!$I$21*(1+annual_incr_other2)^4,IF(B132=Input!$I$22+60,Input!$I$21*(1+annual_incr_other2)^5,IF(B132=Input!$I$22+72,Input!$I$21*(1+annual_incr_other2)^6,IF(B132=Input!$I$22+84,Input!$I$21*(1+annual_incr_other2)^7,IF(B132=Input!$I$22+96,Input!$I$21*(1+annual_incr_other2)^8,IF(B132=Input!$I$22+108,Input!$I$21*(1+annual_incr_other2)^9,IF(B132=Input!$I$22+120,Input!$I$21*(1+annual_incr_other2)^10,L131))))))))))))</f>
        <v>704.04649930799644</v>
      </c>
      <c r="M132" s="156">
        <f>IF(OR(Input!$I$27="",B132&lt;Input!$I$27),0,E132*mgmt_fee)</f>
        <v>2999.2689128376001</v>
      </c>
      <c r="N132" s="156">
        <f>IF(OR(Input!$I$29="",B132&lt;Input!$I$29),0,E132*repairs_maint)</f>
        <v>3665.7731156904001</v>
      </c>
      <c r="O132" s="162">
        <f>IF(Input!$I$31="",0,IF(OR(B132=Input!$I$31,B132=Input!$I$31+12,B132=Input!$I$31+24,B132=Input!$I$31+36,B132=Input!$I$31+48,B132=Input!$I$31+60,B132=Input!$I$31+72,B132=Input!$I$31+84,B132=Input!$I$31+96,B132=Input!$I$31+108,B132=Input!$I$31+120),E132*other_3,0))</f>
        <v>0</v>
      </c>
      <c r="P132" s="207">
        <f t="shared" si="90"/>
        <v>7988.6909645740261</v>
      </c>
      <c r="Q132" s="162">
        <f t="shared" si="91"/>
        <v>325263.41046182596</v>
      </c>
      <c r="AI132" s="166"/>
      <c r="AJ132" s="166"/>
      <c r="AK132" s="166"/>
      <c r="AL132" s="166"/>
      <c r="AM132" s="166"/>
      <c r="AN132" s="166"/>
    </row>
    <row r="133" spans="1:40">
      <c r="A133" s="137">
        <f t="shared" si="65"/>
        <v>44089</v>
      </c>
      <c r="B133" s="205">
        <f t="shared" si="55"/>
        <v>129</v>
      </c>
      <c r="C133" s="156">
        <f>C132+(C132*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33" s="156">
        <f t="shared" si="88"/>
        <v>17539.584285600002</v>
      </c>
      <c r="E133" s="156">
        <f t="shared" si="89"/>
        <v>333252.10142640001</v>
      </c>
      <c r="G133" s="206">
        <f>IF(Input!$I$7="",0,IF(B133=Input!$I$7,Input!$I$6,IF(B133=Input!$I$7+12,Input!$I$6*(1+annual_incr_proptax),IF(B133=Input!$I$7+24,Input!$I$6*(1+annual_incr_proptax)^2,IF(B133=Input!$I$7+36,Input!$I$6*(1+annual_incr_proptax)^3,IF(B133=Input!$I$7+48,Input!$I$6*(1+annual_incr_proptax)^4,IF(B133=Input!$I$7+60,Input!$I$6*(1+annual_incr_proptax)^5,IF(B133=Input!$I$7+72,Input!$I$6*(1+annual_incr_proptax)^6,IF(B133=Input!$I$7+84,Input!$I$6*(1+annual_incr_proptax)^7,IF(B133=Input!$I$7+96,Input!$I$6*(1+annual_incr_proptax)^8,IF(B133=Input!$I$7+108,Input!$I$6*(1+annual_incr_proptax)^9,IF(B133=Input!$I$7+120,Input!$I$6*(1+annual_incr_proptax)^10,0))))))))))))</f>
        <v>0</v>
      </c>
      <c r="H133" s="156">
        <f>IF(Input!$I$10="",0,IF(B133=Input!$I$10,Input!$I$9,IF(B133=Input!$I$10+12,Input!$I$9*(1+annual_incr_ins),IF(B133=Input!$I$10+24,Input!$I$9*(1+annual_incr_ins)^2,IF(B133=Input!$I$10+36,Input!$I$9*(1+annual_incr_ins)^3,IF(B133=Input!$I$10+48,Input!$I$9*(1+annual_incr_ins)^4,IF(B133=Input!$I$10+60,Input!$I$9*(1+annual_incr_ins)^5,IF(B133=Input!$I$10+72,Input!$I$9*(1+annual_incr_ins)^6,IF(B133=Input!$I$10+84,Input!$I$9*(1+annual_incr_ins)^7,IF(B133=Input!$I$10+96,Input!$I$9*(1+annual_incr_ins)^8,IF(B133=Input!$I$10+108,Input!$I$9*(1+annual_incr_ins)^9,IF(B133=Input!$I$10+120,Input!$I$9*(1+annual_incr_ins)^10,0))))))))))))</f>
        <v>0</v>
      </c>
      <c r="I133" s="156">
        <f>IF(OR(Input!$I$13="",B133&lt;Input!$I$13),0,IF(AND(B133&gt;=Input!$I$13,B133&lt;Input!$I$13+12),Input!$I$12,IF(B133=Input!$I$13+12,Input!$I$12*(1+annual_incr_util),IF(B133=Input!$I$13+24,Input!$I$12*(1+annual_incr_util)^2,IF(B133=Input!$I$13+36,Input!$I$12*(1+annual_incr_util)^3,IF(B133=Input!$I$13+48,Input!$I$12*(1+annual_incr_util)^4,IF(B133=Input!$I$13+60,Input!$I$12*(1+annual_incr_util)^5,IF(B133=Input!$I$13+72,Input!$I$12*(1+annual_incr_util)^6,IF(B133=Input!$I$13+84,Input!$I$12*(1+annual_incr_util)^7,IF(B133=Input!$I$13+96,Input!$I$12*(1+annual_incr_util)^8,IF(B133=Input!$I$13+108,Input!$I$12*(1+annual_incr_util)^9,IF(B133=Input!$I$13+120,Input!$I$12*(1+annual_incr_util)^10,I132))))))))))))</f>
        <v>619.6024367380295</v>
      </c>
      <c r="J133" s="156">
        <f>IF(Input!$I$16="",0,IF(B133=Input!$I$16,Input!$I$15,IF(B133=Input!$I$16+12,Input!$I$15*(1+annual_incr_advtg),IF(B133=Input!$I$16+24,Input!$I$15*(1+annual_incr_advtg)^2,IF(B133=Input!$I$16+36,Input!$I$15*(1+annual_incr_advtg)^3,IF(B133=Input!$I$16+48,Input!$I$15*(1+annual_incr_advtg)^4,IF(B133=Input!$I$16+60,Input!$I$15*(1+annual_incr_advtg)^5,IF(B133=Input!$I$16+72,Input!$I$15*(1+annual_incr_advtg)^6,IF(B133=Input!$I$16+84,Input!$I$15*(1+annual_incr_advtg)^7,IF(B133=Input!$I$16+96,Input!$I$15*(1+annual_incr_advtg)^8,IF(B133=Input!$I$16+108,Input!$I$15*(1+annual_incr_advtg)^9,IF(B133=Input!$I$16+120,Input!$I$15*(1+annual_incr_advtg)^10,0))))))))))))</f>
        <v>0</v>
      </c>
      <c r="K133" s="156">
        <f>IF(Input!$I$19="",0,IF(B133=Input!$I$19,Input!$I$18,IF(B133=Input!$I$19+12,Input!$I$18*(1+annual_incr_other1),IF(B133=Input!$I$19+24,Input!$I$18*(1+annual_incr_other1)^2,IF(B133=Input!$I$19+36,Input!$I$18*(1+annual_incr_other1)^3,IF(B133=Input!$I$19+48,Input!$I$18*(1+annual_incr_other1)^4,IF(B133=Input!$I$19+60,Input!$I$18*(1+annual_incr_other1)^5,IF(B133=Input!$I$19+72,Input!$I$18*(1+annual_incr_other1)^6,IF(B133=Input!$I$19+84,Input!$I$18*(1+annual_incr_other1)^7,IF(B133=Input!$I$19+96,Input!$I$18*(1+annual_incr_other1)^8,IF(B133=Input!$I$19+108,Input!$I$18*(1+annual_incr_other1)^9,IF(B133=Input!$I$19+120,Input!$I$18*(1+annual_incr_other1)^10,0))))))))))))</f>
        <v>0</v>
      </c>
      <c r="L133" s="156">
        <f>IF(OR(Input!$I$22="",B133&lt;Input!$I$22),0,IF(AND(B133&gt;=Input!$I$22,B133&lt;Input!$I$22+12),Input!$I$21,IF(B133=Input!$I$22+12,Input!$I$21*(1+annual_incr_other2),IF(B133=Input!$I$22+24,Input!$I$21*(1+annual_incr_other2)^2,IF(B133=Input!$I$22+36,Input!$I$21*(1+annual_incr_other2)^3,IF(B133=Input!$I$22+48,Input!$I$21*(1+annual_incr_other2)^4,IF(B133=Input!$I$22+60,Input!$I$21*(1+annual_incr_other2)^5,IF(B133=Input!$I$22+72,Input!$I$21*(1+annual_incr_other2)^6,IF(B133=Input!$I$22+84,Input!$I$21*(1+annual_incr_other2)^7,IF(B133=Input!$I$22+96,Input!$I$21*(1+annual_incr_other2)^8,IF(B133=Input!$I$22+108,Input!$I$21*(1+annual_incr_other2)^9,IF(B133=Input!$I$22+120,Input!$I$21*(1+annual_incr_other2)^10,L132))))))))))))</f>
        <v>704.04649930799644</v>
      </c>
      <c r="M133" s="156">
        <f>IF(OR(Input!$I$27="",B133&lt;Input!$I$27),0,E133*mgmt_fee)</f>
        <v>2999.2689128376001</v>
      </c>
      <c r="N133" s="156">
        <f>IF(OR(Input!$I$29="",B133&lt;Input!$I$29),0,E133*repairs_maint)</f>
        <v>3665.7731156904001</v>
      </c>
      <c r="O133" s="162">
        <f>IF(Input!$I$31="",0,IF(OR(B133=Input!$I$31,B133=Input!$I$31+12,B133=Input!$I$31+24,B133=Input!$I$31+36,B133=Input!$I$31+48,B133=Input!$I$31+60,B133=Input!$I$31+72,B133=Input!$I$31+84,B133=Input!$I$31+96,B133=Input!$I$31+108,B133=Input!$I$31+120),E133*other_3,0))</f>
        <v>0</v>
      </c>
      <c r="P133" s="207">
        <f t="shared" si="90"/>
        <v>7988.6909645740261</v>
      </c>
      <c r="Q133" s="162">
        <f t="shared" si="91"/>
        <v>325263.41046182596</v>
      </c>
      <c r="AI133" s="166"/>
      <c r="AJ133" s="166"/>
      <c r="AK133" s="166"/>
      <c r="AL133" s="166"/>
      <c r="AM133" s="166"/>
      <c r="AN133" s="166"/>
    </row>
    <row r="134" spans="1:40">
      <c r="A134" s="137">
        <f t="shared" si="65"/>
        <v>44119</v>
      </c>
      <c r="B134" s="205">
        <f t="shared" ref="B134:B136" si="92">B133+1</f>
        <v>130</v>
      </c>
      <c r="C134" s="156">
        <f>C133+(C133*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34" s="156">
        <f t="shared" si="88"/>
        <v>17539.584285600002</v>
      </c>
      <c r="E134" s="156">
        <f t="shared" si="89"/>
        <v>333252.10142640001</v>
      </c>
      <c r="G134" s="206">
        <f>IF(Input!$I$7="",0,IF(B134=Input!$I$7,Input!$I$6,IF(B134=Input!$I$7+12,Input!$I$6*(1+annual_incr_proptax),IF(B134=Input!$I$7+24,Input!$I$6*(1+annual_incr_proptax)^2,IF(B134=Input!$I$7+36,Input!$I$6*(1+annual_incr_proptax)^3,IF(B134=Input!$I$7+48,Input!$I$6*(1+annual_incr_proptax)^4,IF(B134=Input!$I$7+60,Input!$I$6*(1+annual_incr_proptax)^5,IF(B134=Input!$I$7+72,Input!$I$6*(1+annual_incr_proptax)^6,IF(B134=Input!$I$7+84,Input!$I$6*(1+annual_incr_proptax)^7,IF(B134=Input!$I$7+96,Input!$I$6*(1+annual_incr_proptax)^8,IF(B134=Input!$I$7+108,Input!$I$6*(1+annual_incr_proptax)^9,IF(B134=Input!$I$7+120,Input!$I$6*(1+annual_incr_proptax)^10,0))))))))))))</f>
        <v>0</v>
      </c>
      <c r="H134" s="156">
        <f>IF(Input!$I$10="",0,IF(B134=Input!$I$10,Input!$I$9,IF(B134=Input!$I$10+12,Input!$I$9*(1+annual_incr_ins),IF(B134=Input!$I$10+24,Input!$I$9*(1+annual_incr_ins)^2,IF(B134=Input!$I$10+36,Input!$I$9*(1+annual_incr_ins)^3,IF(B134=Input!$I$10+48,Input!$I$9*(1+annual_incr_ins)^4,IF(B134=Input!$I$10+60,Input!$I$9*(1+annual_incr_ins)^5,IF(B134=Input!$I$10+72,Input!$I$9*(1+annual_incr_ins)^6,IF(B134=Input!$I$10+84,Input!$I$9*(1+annual_incr_ins)^7,IF(B134=Input!$I$10+96,Input!$I$9*(1+annual_incr_ins)^8,IF(B134=Input!$I$10+108,Input!$I$9*(1+annual_incr_ins)^9,IF(B134=Input!$I$10+120,Input!$I$9*(1+annual_incr_ins)^10,0))))))))))))</f>
        <v>0</v>
      </c>
      <c r="I134" s="156">
        <f>IF(OR(Input!$I$13="",B134&lt;Input!$I$13),0,IF(AND(B134&gt;=Input!$I$13,B134&lt;Input!$I$13+12),Input!$I$12,IF(B134=Input!$I$13+12,Input!$I$12*(1+annual_incr_util),IF(B134=Input!$I$13+24,Input!$I$12*(1+annual_incr_util)^2,IF(B134=Input!$I$13+36,Input!$I$12*(1+annual_incr_util)^3,IF(B134=Input!$I$13+48,Input!$I$12*(1+annual_incr_util)^4,IF(B134=Input!$I$13+60,Input!$I$12*(1+annual_incr_util)^5,IF(B134=Input!$I$13+72,Input!$I$12*(1+annual_incr_util)^6,IF(B134=Input!$I$13+84,Input!$I$12*(1+annual_incr_util)^7,IF(B134=Input!$I$13+96,Input!$I$12*(1+annual_incr_util)^8,IF(B134=Input!$I$13+108,Input!$I$12*(1+annual_incr_util)^9,IF(B134=Input!$I$13+120,Input!$I$12*(1+annual_incr_util)^10,I133))))))))))))</f>
        <v>619.6024367380295</v>
      </c>
      <c r="J134" s="156">
        <f>IF(Input!$I$16="",0,IF(B134=Input!$I$16,Input!$I$15,IF(B134=Input!$I$16+12,Input!$I$15*(1+annual_incr_advtg),IF(B134=Input!$I$16+24,Input!$I$15*(1+annual_incr_advtg)^2,IF(B134=Input!$I$16+36,Input!$I$15*(1+annual_incr_advtg)^3,IF(B134=Input!$I$16+48,Input!$I$15*(1+annual_incr_advtg)^4,IF(B134=Input!$I$16+60,Input!$I$15*(1+annual_incr_advtg)^5,IF(B134=Input!$I$16+72,Input!$I$15*(1+annual_incr_advtg)^6,IF(B134=Input!$I$16+84,Input!$I$15*(1+annual_incr_advtg)^7,IF(B134=Input!$I$16+96,Input!$I$15*(1+annual_incr_advtg)^8,IF(B134=Input!$I$16+108,Input!$I$15*(1+annual_incr_advtg)^9,IF(B134=Input!$I$16+120,Input!$I$15*(1+annual_incr_advtg)^10,0))))))))))))</f>
        <v>0</v>
      </c>
      <c r="K134" s="156">
        <f>IF(Input!$I$19="",0,IF(B134=Input!$I$19,Input!$I$18,IF(B134=Input!$I$19+12,Input!$I$18*(1+annual_incr_other1),IF(B134=Input!$I$19+24,Input!$I$18*(1+annual_incr_other1)^2,IF(B134=Input!$I$19+36,Input!$I$18*(1+annual_incr_other1)^3,IF(B134=Input!$I$19+48,Input!$I$18*(1+annual_incr_other1)^4,IF(B134=Input!$I$19+60,Input!$I$18*(1+annual_incr_other1)^5,IF(B134=Input!$I$19+72,Input!$I$18*(1+annual_incr_other1)^6,IF(B134=Input!$I$19+84,Input!$I$18*(1+annual_incr_other1)^7,IF(B134=Input!$I$19+96,Input!$I$18*(1+annual_incr_other1)^8,IF(B134=Input!$I$19+108,Input!$I$18*(1+annual_incr_other1)^9,IF(B134=Input!$I$19+120,Input!$I$18*(1+annual_incr_other1)^10,0))))))))))))</f>
        <v>0</v>
      </c>
      <c r="L134" s="156">
        <f>IF(OR(Input!$I$22="",B134&lt;Input!$I$22),0,IF(AND(B134&gt;=Input!$I$22,B134&lt;Input!$I$22+12),Input!$I$21,IF(B134=Input!$I$22+12,Input!$I$21*(1+annual_incr_other2),IF(B134=Input!$I$22+24,Input!$I$21*(1+annual_incr_other2)^2,IF(B134=Input!$I$22+36,Input!$I$21*(1+annual_incr_other2)^3,IF(B134=Input!$I$22+48,Input!$I$21*(1+annual_incr_other2)^4,IF(B134=Input!$I$22+60,Input!$I$21*(1+annual_incr_other2)^5,IF(B134=Input!$I$22+72,Input!$I$21*(1+annual_incr_other2)^6,IF(B134=Input!$I$22+84,Input!$I$21*(1+annual_incr_other2)^7,IF(B134=Input!$I$22+96,Input!$I$21*(1+annual_incr_other2)^8,IF(B134=Input!$I$22+108,Input!$I$21*(1+annual_incr_other2)^9,IF(B134=Input!$I$22+120,Input!$I$21*(1+annual_incr_other2)^10,L133))))))))))))</f>
        <v>704.04649930799644</v>
      </c>
      <c r="M134" s="156">
        <f>IF(OR(Input!$I$27="",B134&lt;Input!$I$27),0,E134*mgmt_fee)</f>
        <v>2999.2689128376001</v>
      </c>
      <c r="N134" s="156">
        <f>IF(OR(Input!$I$29="",B134&lt;Input!$I$29),0,E134*repairs_maint)</f>
        <v>3665.7731156904001</v>
      </c>
      <c r="O134" s="162">
        <f>IF(Input!$I$31="",0,IF(OR(B134=Input!$I$31,B134=Input!$I$31+12,B134=Input!$I$31+24,B134=Input!$I$31+36,B134=Input!$I$31+48,B134=Input!$I$31+60,B134=Input!$I$31+72,B134=Input!$I$31+84,B134=Input!$I$31+96,B134=Input!$I$31+108,B134=Input!$I$31+120),E134*other_3,0))</f>
        <v>0</v>
      </c>
      <c r="P134" s="207">
        <f t="shared" si="90"/>
        <v>7988.6909645740261</v>
      </c>
      <c r="Q134" s="162">
        <f t="shared" si="91"/>
        <v>325263.41046182596</v>
      </c>
      <c r="AI134" s="166"/>
      <c r="AJ134" s="166"/>
      <c r="AK134" s="166"/>
      <c r="AL134" s="166"/>
      <c r="AM134" s="166"/>
      <c r="AN134" s="166"/>
    </row>
    <row r="135" spans="1:40">
      <c r="A135" s="137">
        <f t="shared" si="65"/>
        <v>44150</v>
      </c>
      <c r="B135" s="205">
        <f t="shared" si="92"/>
        <v>131</v>
      </c>
      <c r="C135" s="156">
        <f>C134+(C134*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35" s="156">
        <f t="shared" si="88"/>
        <v>17539.584285600002</v>
      </c>
      <c r="E135" s="156">
        <f t="shared" si="89"/>
        <v>333252.10142640001</v>
      </c>
      <c r="G135" s="206">
        <f>IF(Input!$I$7="",0,IF(B135=Input!$I$7,Input!$I$6,IF(B135=Input!$I$7+12,Input!$I$6*(1+annual_incr_proptax),IF(B135=Input!$I$7+24,Input!$I$6*(1+annual_incr_proptax)^2,IF(B135=Input!$I$7+36,Input!$I$6*(1+annual_incr_proptax)^3,IF(B135=Input!$I$7+48,Input!$I$6*(1+annual_incr_proptax)^4,IF(B135=Input!$I$7+60,Input!$I$6*(1+annual_incr_proptax)^5,IF(B135=Input!$I$7+72,Input!$I$6*(1+annual_incr_proptax)^6,IF(B135=Input!$I$7+84,Input!$I$6*(1+annual_incr_proptax)^7,IF(B135=Input!$I$7+96,Input!$I$6*(1+annual_incr_proptax)^8,IF(B135=Input!$I$7+108,Input!$I$6*(1+annual_incr_proptax)^9,IF(B135=Input!$I$7+120,Input!$I$6*(1+annual_incr_proptax)^10,0))))))))))))</f>
        <v>0</v>
      </c>
      <c r="H135" s="156">
        <f>IF(Input!$I$10="",0,IF(B135=Input!$I$10,Input!$I$9,IF(B135=Input!$I$10+12,Input!$I$9*(1+annual_incr_ins),IF(B135=Input!$I$10+24,Input!$I$9*(1+annual_incr_ins)^2,IF(B135=Input!$I$10+36,Input!$I$9*(1+annual_incr_ins)^3,IF(B135=Input!$I$10+48,Input!$I$9*(1+annual_incr_ins)^4,IF(B135=Input!$I$10+60,Input!$I$9*(1+annual_incr_ins)^5,IF(B135=Input!$I$10+72,Input!$I$9*(1+annual_incr_ins)^6,IF(B135=Input!$I$10+84,Input!$I$9*(1+annual_incr_ins)^7,IF(B135=Input!$I$10+96,Input!$I$9*(1+annual_incr_ins)^8,IF(B135=Input!$I$10+108,Input!$I$9*(1+annual_incr_ins)^9,IF(B135=Input!$I$10+120,Input!$I$9*(1+annual_incr_ins)^10,0))))))))))))</f>
        <v>0</v>
      </c>
      <c r="I135" s="156">
        <f>IF(OR(Input!$I$13="",B135&lt;Input!$I$13),0,IF(AND(B135&gt;=Input!$I$13,B135&lt;Input!$I$13+12),Input!$I$12,IF(B135=Input!$I$13+12,Input!$I$12*(1+annual_incr_util),IF(B135=Input!$I$13+24,Input!$I$12*(1+annual_incr_util)^2,IF(B135=Input!$I$13+36,Input!$I$12*(1+annual_incr_util)^3,IF(B135=Input!$I$13+48,Input!$I$12*(1+annual_incr_util)^4,IF(B135=Input!$I$13+60,Input!$I$12*(1+annual_incr_util)^5,IF(B135=Input!$I$13+72,Input!$I$12*(1+annual_incr_util)^6,IF(B135=Input!$I$13+84,Input!$I$12*(1+annual_incr_util)^7,IF(B135=Input!$I$13+96,Input!$I$12*(1+annual_incr_util)^8,IF(B135=Input!$I$13+108,Input!$I$12*(1+annual_incr_util)^9,IF(B135=Input!$I$13+120,Input!$I$12*(1+annual_incr_util)^10,I134))))))))))))</f>
        <v>619.6024367380295</v>
      </c>
      <c r="J135" s="156">
        <f>IF(Input!$I$16="",0,IF(B135=Input!$I$16,Input!$I$15,IF(B135=Input!$I$16+12,Input!$I$15*(1+annual_incr_advtg),IF(B135=Input!$I$16+24,Input!$I$15*(1+annual_incr_advtg)^2,IF(B135=Input!$I$16+36,Input!$I$15*(1+annual_incr_advtg)^3,IF(B135=Input!$I$16+48,Input!$I$15*(1+annual_incr_advtg)^4,IF(B135=Input!$I$16+60,Input!$I$15*(1+annual_incr_advtg)^5,IF(B135=Input!$I$16+72,Input!$I$15*(1+annual_incr_advtg)^6,IF(B135=Input!$I$16+84,Input!$I$15*(1+annual_incr_advtg)^7,IF(B135=Input!$I$16+96,Input!$I$15*(1+annual_incr_advtg)^8,IF(B135=Input!$I$16+108,Input!$I$15*(1+annual_incr_advtg)^9,IF(B135=Input!$I$16+120,Input!$I$15*(1+annual_incr_advtg)^10,0))))))))))))</f>
        <v>0</v>
      </c>
      <c r="K135" s="156">
        <f>IF(Input!$I$19="",0,IF(B135=Input!$I$19,Input!$I$18,IF(B135=Input!$I$19+12,Input!$I$18*(1+annual_incr_other1),IF(B135=Input!$I$19+24,Input!$I$18*(1+annual_incr_other1)^2,IF(B135=Input!$I$19+36,Input!$I$18*(1+annual_incr_other1)^3,IF(B135=Input!$I$19+48,Input!$I$18*(1+annual_incr_other1)^4,IF(B135=Input!$I$19+60,Input!$I$18*(1+annual_incr_other1)^5,IF(B135=Input!$I$19+72,Input!$I$18*(1+annual_incr_other1)^6,IF(B135=Input!$I$19+84,Input!$I$18*(1+annual_incr_other1)^7,IF(B135=Input!$I$19+96,Input!$I$18*(1+annual_incr_other1)^8,IF(B135=Input!$I$19+108,Input!$I$18*(1+annual_incr_other1)^9,IF(B135=Input!$I$19+120,Input!$I$18*(1+annual_incr_other1)^10,0))))))))))))</f>
        <v>0</v>
      </c>
      <c r="L135" s="156">
        <f>IF(OR(Input!$I$22="",B135&lt;Input!$I$22),0,IF(AND(B135&gt;=Input!$I$22,B135&lt;Input!$I$22+12),Input!$I$21,IF(B135=Input!$I$22+12,Input!$I$21*(1+annual_incr_other2),IF(B135=Input!$I$22+24,Input!$I$21*(1+annual_incr_other2)^2,IF(B135=Input!$I$22+36,Input!$I$21*(1+annual_incr_other2)^3,IF(B135=Input!$I$22+48,Input!$I$21*(1+annual_incr_other2)^4,IF(B135=Input!$I$22+60,Input!$I$21*(1+annual_incr_other2)^5,IF(B135=Input!$I$22+72,Input!$I$21*(1+annual_incr_other2)^6,IF(B135=Input!$I$22+84,Input!$I$21*(1+annual_incr_other2)^7,IF(B135=Input!$I$22+96,Input!$I$21*(1+annual_incr_other2)^8,IF(B135=Input!$I$22+108,Input!$I$21*(1+annual_incr_other2)^9,IF(B135=Input!$I$22+120,Input!$I$21*(1+annual_incr_other2)^10,L134))))))))))))</f>
        <v>704.04649930799644</v>
      </c>
      <c r="M135" s="156">
        <f>IF(OR(Input!$I$27="",B135&lt;Input!$I$27),0,E135*mgmt_fee)</f>
        <v>2999.2689128376001</v>
      </c>
      <c r="N135" s="156">
        <f>IF(OR(Input!$I$29="",B135&lt;Input!$I$29),0,E135*repairs_maint)</f>
        <v>3665.7731156904001</v>
      </c>
      <c r="O135" s="162">
        <f>IF(Input!$I$31="",0,IF(OR(B135=Input!$I$31,B135=Input!$I$31+12,B135=Input!$I$31+24,B135=Input!$I$31+36,B135=Input!$I$31+48,B135=Input!$I$31+60,B135=Input!$I$31+72,B135=Input!$I$31+84,B135=Input!$I$31+96,B135=Input!$I$31+108,B135=Input!$I$31+120),E135*other_3,0))</f>
        <v>0</v>
      </c>
      <c r="P135" s="207">
        <f t="shared" si="90"/>
        <v>7988.6909645740261</v>
      </c>
      <c r="Q135" s="162">
        <f t="shared" si="91"/>
        <v>325263.41046182596</v>
      </c>
      <c r="AI135" s="166"/>
      <c r="AJ135" s="166"/>
      <c r="AK135" s="166"/>
      <c r="AL135" s="166"/>
      <c r="AM135" s="166"/>
      <c r="AN135" s="166"/>
    </row>
    <row r="136" spans="1:40">
      <c r="A136" s="181">
        <f t="shared" ref="A136" si="93">EDATE(A135,1)</f>
        <v>44180</v>
      </c>
      <c r="B136" s="182">
        <f t="shared" si="92"/>
        <v>132</v>
      </c>
      <c r="C136" s="183">
        <f>C135+(C135*IF(AND(rent_increase_interval="6-Mthly",MOD(month_no,6)=1),Input!$C$16,IF(AND(rent_increase_interval="Annually",MOD(month_no,12)=1),Input!$C$16,IF(AND(rent_increase_interval="2-Yrs",MOD(month_no,24)=1),Input!$C$16,IF(AND(rent_increase_interval="3-Yrs",MOD(month_no,36)=1),Input!$C$16,IF(AND(rent_increase_interval="4-Yrs",MOD(month_no,48)=1),Input!$C$16,IF(AND(rent_increase_interval="5-Yrs",MOD(month_no,60)=1),Input!$C$16,0)))))))</f>
        <v>350791.68571200001</v>
      </c>
      <c r="D136" s="183">
        <f t="shared" si="88"/>
        <v>17539.584285600002</v>
      </c>
      <c r="E136" s="183">
        <f t="shared" si="89"/>
        <v>333252.10142640001</v>
      </c>
      <c r="G136" s="209">
        <f>IF(Input!$I$7="",0,IF(B136=Input!$I$7,Input!$I$6,IF(B136=Input!$I$7+12,Input!$I$6*(1+annual_incr_proptax),IF(B136=Input!$I$7+24,Input!$I$6*(1+annual_incr_proptax)^2,IF(B136=Input!$I$7+36,Input!$I$6*(1+annual_incr_proptax)^3,IF(B136=Input!$I$7+48,Input!$I$6*(1+annual_incr_proptax)^4,IF(B136=Input!$I$7+60,Input!$I$6*(1+annual_incr_proptax)^5,IF(B136=Input!$I$7+72,Input!$I$6*(1+annual_incr_proptax)^6,IF(B136=Input!$I$7+84,Input!$I$6*(1+annual_incr_proptax)^7,IF(B136=Input!$I$7+96,Input!$I$6*(1+annual_incr_proptax)^8,IF(B136=Input!$I$7+108,Input!$I$6*(1+annual_incr_proptax)^9,IF(B136=Input!$I$7+120,Input!$I$6*(1+annual_incr_proptax)^10,0))))))))))))</f>
        <v>0</v>
      </c>
      <c r="H136" s="183">
        <f>IF(Input!$I$10="",0,IF(B136=Input!$I$10,Input!$I$9,IF(B136=Input!$I$10+12,Input!$I$9*(1+annual_incr_ins),IF(B136=Input!$I$10+24,Input!$I$9*(1+annual_incr_ins)^2,IF(B136=Input!$I$10+36,Input!$I$9*(1+annual_incr_ins)^3,IF(B136=Input!$I$10+48,Input!$I$9*(1+annual_incr_ins)^4,IF(B136=Input!$I$10+60,Input!$I$9*(1+annual_incr_ins)^5,IF(B136=Input!$I$10+72,Input!$I$9*(1+annual_incr_ins)^6,IF(B136=Input!$I$10+84,Input!$I$9*(1+annual_incr_ins)^7,IF(B136=Input!$I$10+96,Input!$I$9*(1+annual_incr_ins)^8,IF(B136=Input!$I$10+108,Input!$I$9*(1+annual_incr_ins)^9,IF(B136=Input!$I$10+120,Input!$I$9*(1+annual_incr_ins)^10,0))))))))))))</f>
        <v>0</v>
      </c>
      <c r="I136" s="183">
        <f>IF(OR(Input!$I$13="",B136&lt;Input!$I$13),0,IF(AND(B136&gt;=Input!$I$13,B136&lt;Input!$I$13+12),Input!$I$12,IF(B136=Input!$I$13+12,Input!$I$12*(1+annual_incr_util),IF(B136=Input!$I$13+24,Input!$I$12*(1+annual_incr_util)^2,IF(B136=Input!$I$13+36,Input!$I$12*(1+annual_incr_util)^3,IF(B136=Input!$I$13+48,Input!$I$12*(1+annual_incr_util)^4,IF(B136=Input!$I$13+60,Input!$I$12*(1+annual_incr_util)^5,IF(B136=Input!$I$13+72,Input!$I$12*(1+annual_incr_util)^6,IF(B136=Input!$I$13+84,Input!$I$12*(1+annual_incr_util)^7,IF(B136=Input!$I$13+96,Input!$I$12*(1+annual_incr_util)^8,IF(B136=Input!$I$13+108,Input!$I$12*(1+annual_incr_util)^9,IF(B136=Input!$I$13+120,Input!$I$12*(1+annual_incr_util)^10,I135))))))))))))</f>
        <v>619.6024367380295</v>
      </c>
      <c r="J136" s="183">
        <f>IF(Input!$I$16="",0,IF(B136=Input!$I$16,Input!$I$15,IF(B136=Input!$I$16+12,Input!$I$15*(1+annual_incr_advtg),IF(B136=Input!$I$16+24,Input!$I$15*(1+annual_incr_advtg)^2,IF(B136=Input!$I$16+36,Input!$I$15*(1+annual_incr_advtg)^3,IF(B136=Input!$I$16+48,Input!$I$15*(1+annual_incr_advtg)^4,IF(B136=Input!$I$16+60,Input!$I$15*(1+annual_incr_advtg)^5,IF(B136=Input!$I$16+72,Input!$I$15*(1+annual_incr_advtg)^6,IF(B136=Input!$I$16+84,Input!$I$15*(1+annual_incr_advtg)^7,IF(B136=Input!$I$16+96,Input!$I$15*(1+annual_incr_advtg)^8,IF(B136=Input!$I$16+108,Input!$I$15*(1+annual_incr_advtg)^9,IF(B136=Input!$I$16+120,Input!$I$15*(1+annual_incr_advtg)^10,0))))))))))))</f>
        <v>0</v>
      </c>
      <c r="K136" s="183">
        <f>IF(Input!$I$19="",0,IF(B136=Input!$I$19,Input!$I$18,IF(B136=Input!$I$19+12,Input!$I$18*(1+annual_incr_other1),IF(B136=Input!$I$19+24,Input!$I$18*(1+annual_incr_other1)^2,IF(B136=Input!$I$19+36,Input!$I$18*(1+annual_incr_other1)^3,IF(B136=Input!$I$19+48,Input!$I$18*(1+annual_incr_other1)^4,IF(B136=Input!$I$19+60,Input!$I$18*(1+annual_incr_other1)^5,IF(B136=Input!$I$19+72,Input!$I$18*(1+annual_incr_other1)^6,IF(B136=Input!$I$19+84,Input!$I$18*(1+annual_incr_other1)^7,IF(B136=Input!$I$19+96,Input!$I$18*(1+annual_incr_other1)^8,IF(B136=Input!$I$19+108,Input!$I$18*(1+annual_incr_other1)^9,IF(B136=Input!$I$19+120,Input!$I$18*(1+annual_incr_other1)^10,0))))))))))))</f>
        <v>0</v>
      </c>
      <c r="L136" s="183">
        <f>IF(OR(Input!$I$22="",B136&lt;Input!$I$22),0,IF(AND(B136&gt;=Input!$I$22,B136&lt;Input!$I$22+12),Input!$I$21,IF(B136=Input!$I$22+12,Input!$I$21*(1+annual_incr_other2),IF(B136=Input!$I$22+24,Input!$I$21*(1+annual_incr_other2)^2,IF(B136=Input!$I$22+36,Input!$I$21*(1+annual_incr_other2)^3,IF(B136=Input!$I$22+48,Input!$I$21*(1+annual_incr_other2)^4,IF(B136=Input!$I$22+60,Input!$I$21*(1+annual_incr_other2)^5,IF(B136=Input!$I$22+72,Input!$I$21*(1+annual_incr_other2)^6,IF(B136=Input!$I$22+84,Input!$I$21*(1+annual_incr_other2)^7,IF(B136=Input!$I$22+96,Input!$I$21*(1+annual_incr_other2)^8,IF(B136=Input!$I$22+108,Input!$I$21*(1+annual_incr_other2)^9,IF(B136=Input!$I$22+120,Input!$I$21*(1+annual_incr_other2)^10,L135))))))))))))</f>
        <v>704.04649930799644</v>
      </c>
      <c r="M136" s="183">
        <f>IF(OR(Input!$I$27="",B136&lt;Input!$I$27),0,E136*mgmt_fee)</f>
        <v>2999.2689128376001</v>
      </c>
      <c r="N136" s="183">
        <f>IF(OR(Input!$I$29="",B136&lt;Input!$I$29),0,E136*repairs_maint)</f>
        <v>3665.7731156904001</v>
      </c>
      <c r="O136" s="186">
        <f>IF(Input!$I$31="",0,IF(OR(B136=Input!$I$31,B136=Input!$I$31+12,B136=Input!$I$31+24,B136=Input!$I$31+36,B136=Input!$I$31+48,B136=Input!$I$31+60,B136=Input!$I$31+72,B136=Input!$I$31+84,B136=Input!$I$31+96,B136=Input!$I$31+108,B136=Input!$I$31+120),E136*other_3,0))</f>
        <v>0</v>
      </c>
      <c r="P136" s="187">
        <f t="shared" si="90"/>
        <v>7988.6909645740261</v>
      </c>
      <c r="Q136" s="186">
        <f t="shared" si="91"/>
        <v>325263.41046182596</v>
      </c>
      <c r="AI136" s="166"/>
      <c r="AJ136" s="166"/>
      <c r="AK136" s="166"/>
      <c r="AL136" s="166"/>
      <c r="AM136" s="166"/>
      <c r="AN136" s="166"/>
    </row>
    <row r="137" spans="1:40">
      <c r="AI137" s="166"/>
      <c r="AJ137" s="166"/>
      <c r="AK137" s="166"/>
      <c r="AL137" s="166"/>
      <c r="AM137" s="166"/>
      <c r="AN137" s="166"/>
    </row>
    <row r="138" spans="1:40">
      <c r="AI138" s="166"/>
      <c r="AJ138" s="166"/>
      <c r="AK138" s="166"/>
      <c r="AL138" s="166"/>
      <c r="AM138" s="166"/>
      <c r="AN138" s="166"/>
    </row>
    <row r="139" spans="1:40">
      <c r="AI139" s="166"/>
      <c r="AJ139" s="166"/>
      <c r="AK139" s="166"/>
      <c r="AL139" s="166"/>
      <c r="AM139" s="166"/>
      <c r="AN139" s="166"/>
    </row>
    <row r="140" spans="1:40">
      <c r="AI140" s="166"/>
      <c r="AJ140" s="166"/>
      <c r="AK140" s="166"/>
      <c r="AL140" s="166"/>
      <c r="AM140" s="166"/>
      <c r="AN140" s="166"/>
    </row>
    <row r="141" spans="1:40">
      <c r="AI141" s="166"/>
      <c r="AJ141" s="166"/>
      <c r="AK141" s="166"/>
      <c r="AL141" s="166"/>
      <c r="AM141" s="166"/>
      <c r="AN141" s="166"/>
    </row>
    <row r="142" spans="1:40">
      <c r="AI142" s="166"/>
      <c r="AJ142" s="166"/>
      <c r="AK142" s="166"/>
      <c r="AL142" s="166"/>
      <c r="AM142" s="166"/>
      <c r="AN142" s="166"/>
    </row>
    <row r="143" spans="1:40">
      <c r="AI143" s="166"/>
      <c r="AJ143" s="166"/>
      <c r="AK143" s="166"/>
      <c r="AL143" s="166"/>
      <c r="AM143" s="166"/>
      <c r="AN143" s="166"/>
    </row>
    <row r="144" spans="1:40">
      <c r="AI144" s="166"/>
      <c r="AJ144" s="166"/>
      <c r="AK144" s="166"/>
      <c r="AL144" s="166"/>
      <c r="AM144" s="166"/>
      <c r="AN144" s="166"/>
    </row>
    <row r="145" spans="35:40">
      <c r="AI145" s="166"/>
      <c r="AJ145" s="166"/>
      <c r="AK145" s="166"/>
      <c r="AL145" s="166"/>
      <c r="AM145" s="166"/>
      <c r="AN145" s="166"/>
    </row>
    <row r="146" spans="35:40">
      <c r="AI146" s="166"/>
      <c r="AJ146" s="166"/>
      <c r="AK146" s="166"/>
      <c r="AL146" s="166"/>
      <c r="AM146" s="166"/>
      <c r="AN146" s="166"/>
    </row>
    <row r="147" spans="35:40">
      <c r="AI147" s="166"/>
      <c r="AJ147" s="166"/>
      <c r="AK147" s="166"/>
      <c r="AL147" s="166"/>
      <c r="AM147" s="166"/>
      <c r="AN147" s="166"/>
    </row>
    <row r="148" spans="35:40">
      <c r="AI148" s="166"/>
      <c r="AJ148" s="166"/>
      <c r="AK148" s="166"/>
      <c r="AL148" s="166"/>
      <c r="AM148" s="166"/>
      <c r="AN148" s="166"/>
    </row>
    <row r="149" spans="35:40">
      <c r="AI149" s="166"/>
      <c r="AJ149" s="166"/>
      <c r="AK149" s="166"/>
      <c r="AL149" s="166"/>
      <c r="AM149" s="166"/>
      <c r="AN149" s="166"/>
    </row>
    <row r="150" spans="35:40">
      <c r="AI150" s="166"/>
      <c r="AJ150" s="166"/>
      <c r="AK150" s="166"/>
      <c r="AL150" s="166"/>
      <c r="AM150" s="166"/>
      <c r="AN150" s="166"/>
    </row>
    <row r="151" spans="35:40">
      <c r="AI151" s="166"/>
      <c r="AJ151" s="166"/>
      <c r="AK151" s="166"/>
      <c r="AL151" s="166"/>
      <c r="AM151" s="166"/>
      <c r="AN151" s="166"/>
    </row>
    <row r="152" spans="35:40">
      <c r="AI152" s="166"/>
      <c r="AJ152" s="166"/>
      <c r="AK152" s="166"/>
      <c r="AL152" s="166"/>
      <c r="AM152" s="166"/>
      <c r="AN152" s="166"/>
    </row>
    <row r="153" spans="35:40">
      <c r="AI153" s="166"/>
      <c r="AJ153" s="166"/>
      <c r="AK153" s="166"/>
      <c r="AL153" s="166"/>
      <c r="AM153" s="166"/>
      <c r="AN153" s="166"/>
    </row>
    <row r="154" spans="35:40">
      <c r="AI154" s="166"/>
      <c r="AJ154" s="166"/>
      <c r="AK154" s="166"/>
      <c r="AL154" s="166"/>
      <c r="AM154" s="166"/>
      <c r="AN154" s="166"/>
    </row>
    <row r="155" spans="35:40">
      <c r="AI155" s="166"/>
      <c r="AJ155" s="166"/>
      <c r="AK155" s="166"/>
      <c r="AL155" s="166"/>
      <c r="AM155" s="166"/>
      <c r="AN155" s="166"/>
    </row>
    <row r="156" spans="35:40">
      <c r="AI156" s="166"/>
      <c r="AJ156" s="166"/>
      <c r="AK156" s="166"/>
      <c r="AL156" s="166"/>
      <c r="AM156" s="166"/>
      <c r="AN156" s="166"/>
    </row>
    <row r="157" spans="35:40">
      <c r="AI157" s="166"/>
      <c r="AJ157" s="166"/>
      <c r="AK157" s="166"/>
      <c r="AL157" s="166"/>
      <c r="AM157" s="166"/>
      <c r="AN157" s="166"/>
    </row>
    <row r="158" spans="35:40">
      <c r="AI158" s="166"/>
      <c r="AJ158" s="166"/>
      <c r="AK158" s="166"/>
      <c r="AL158" s="166"/>
      <c r="AM158" s="166"/>
      <c r="AN158" s="166"/>
    </row>
    <row r="159" spans="35:40">
      <c r="AI159" s="166"/>
      <c r="AJ159" s="166"/>
      <c r="AK159" s="166"/>
      <c r="AL159" s="166"/>
      <c r="AM159" s="166"/>
      <c r="AN159" s="166"/>
    </row>
    <row r="160" spans="35:40">
      <c r="AI160" s="166"/>
      <c r="AJ160" s="166"/>
      <c r="AK160" s="166"/>
      <c r="AL160" s="166"/>
      <c r="AM160" s="166"/>
      <c r="AN160" s="166"/>
    </row>
    <row r="161" spans="35:40">
      <c r="AI161" s="166"/>
      <c r="AJ161" s="166"/>
      <c r="AK161" s="166"/>
      <c r="AL161" s="166"/>
      <c r="AM161" s="166"/>
      <c r="AN161" s="166"/>
    </row>
    <row r="162" spans="35:40">
      <c r="AI162" s="166"/>
      <c r="AJ162" s="166"/>
      <c r="AK162" s="166"/>
      <c r="AL162" s="166"/>
      <c r="AM162" s="166"/>
      <c r="AN162" s="166"/>
    </row>
    <row r="163" spans="35:40">
      <c r="AI163" s="166"/>
      <c r="AJ163" s="166"/>
      <c r="AK163" s="166"/>
      <c r="AL163" s="166"/>
      <c r="AM163" s="166"/>
      <c r="AN163" s="166"/>
    </row>
    <row r="164" spans="35:40">
      <c r="AI164" s="166"/>
      <c r="AJ164" s="166"/>
      <c r="AK164" s="166"/>
      <c r="AL164" s="166"/>
      <c r="AM164" s="166"/>
      <c r="AN164" s="166"/>
    </row>
    <row r="165" spans="35:40">
      <c r="AI165" s="166"/>
      <c r="AJ165" s="166"/>
      <c r="AK165" s="166"/>
      <c r="AL165" s="166"/>
      <c r="AM165" s="166"/>
      <c r="AN165" s="166"/>
    </row>
    <row r="166" spans="35:40">
      <c r="AI166" s="166"/>
      <c r="AJ166" s="166"/>
      <c r="AK166" s="166"/>
      <c r="AL166" s="166"/>
      <c r="AM166" s="166"/>
      <c r="AN166" s="166"/>
    </row>
    <row r="167" spans="35:40">
      <c r="AI167" s="166"/>
      <c r="AJ167" s="166"/>
      <c r="AK167" s="166"/>
      <c r="AL167" s="166"/>
      <c r="AM167" s="166"/>
      <c r="AN167" s="166"/>
    </row>
    <row r="168" spans="35:40">
      <c r="AI168" s="166"/>
      <c r="AJ168" s="166"/>
      <c r="AK168" s="166"/>
      <c r="AL168" s="166"/>
      <c r="AM168" s="166"/>
      <c r="AN168" s="166"/>
    </row>
    <row r="169" spans="35:40">
      <c r="AI169" s="166"/>
      <c r="AJ169" s="166"/>
      <c r="AK169" s="166"/>
      <c r="AL169" s="166"/>
      <c r="AM169" s="166"/>
      <c r="AN169" s="166"/>
    </row>
    <row r="170" spans="35:40">
      <c r="AI170" s="166"/>
      <c r="AJ170" s="166"/>
      <c r="AK170" s="166"/>
      <c r="AL170" s="166"/>
      <c r="AM170" s="166"/>
      <c r="AN170" s="166"/>
    </row>
    <row r="171" spans="35:40">
      <c r="AI171" s="166"/>
      <c r="AJ171" s="166"/>
      <c r="AK171" s="166"/>
      <c r="AL171" s="166"/>
      <c r="AM171" s="166"/>
      <c r="AN171" s="166"/>
    </row>
    <row r="172" spans="35:40">
      <c r="AI172" s="166"/>
      <c r="AJ172" s="166"/>
      <c r="AK172" s="166"/>
      <c r="AL172" s="166"/>
      <c r="AM172" s="166"/>
      <c r="AN172" s="166"/>
    </row>
    <row r="173" spans="35:40">
      <c r="AI173" s="166"/>
      <c r="AJ173" s="166"/>
      <c r="AK173" s="166"/>
      <c r="AL173" s="166"/>
      <c r="AM173" s="166"/>
      <c r="AN173" s="166"/>
    </row>
    <row r="174" spans="35:40">
      <c r="AI174" s="166"/>
      <c r="AJ174" s="166"/>
      <c r="AK174" s="166"/>
      <c r="AL174" s="166"/>
      <c r="AM174" s="166"/>
      <c r="AN174" s="166"/>
    </row>
    <row r="175" spans="35:40">
      <c r="AI175" s="166"/>
      <c r="AJ175" s="166"/>
      <c r="AK175" s="166"/>
      <c r="AL175" s="166"/>
      <c r="AM175" s="166"/>
      <c r="AN175" s="166"/>
    </row>
    <row r="176" spans="35:40">
      <c r="AI176" s="166"/>
      <c r="AJ176" s="166"/>
      <c r="AK176" s="166"/>
      <c r="AL176" s="166"/>
      <c r="AM176" s="166"/>
      <c r="AN176" s="166"/>
    </row>
    <row r="177" spans="35:40">
      <c r="AI177" s="166"/>
      <c r="AJ177" s="166"/>
      <c r="AK177" s="166"/>
      <c r="AL177" s="166"/>
      <c r="AM177" s="166"/>
      <c r="AN177" s="166"/>
    </row>
    <row r="178" spans="35:40">
      <c r="AI178" s="166"/>
      <c r="AJ178" s="166"/>
      <c r="AK178" s="166"/>
      <c r="AL178" s="166"/>
      <c r="AM178" s="166"/>
      <c r="AN178" s="166"/>
    </row>
    <row r="179" spans="35:40">
      <c r="AI179" s="166"/>
      <c r="AJ179" s="166"/>
      <c r="AK179" s="166"/>
      <c r="AL179" s="166"/>
      <c r="AM179" s="166"/>
      <c r="AN179" s="166"/>
    </row>
    <row r="180" spans="35:40">
      <c r="AI180" s="166"/>
      <c r="AJ180" s="166"/>
      <c r="AK180" s="166"/>
      <c r="AL180" s="166"/>
      <c r="AM180" s="166"/>
      <c r="AN180" s="166"/>
    </row>
    <row r="181" spans="35:40">
      <c r="AI181" s="166"/>
      <c r="AJ181" s="166"/>
      <c r="AK181" s="166"/>
      <c r="AL181" s="166"/>
      <c r="AM181" s="166"/>
      <c r="AN181" s="166"/>
    </row>
    <row r="182" spans="35:40">
      <c r="AI182" s="166"/>
      <c r="AJ182" s="166"/>
      <c r="AK182" s="166"/>
      <c r="AL182" s="166"/>
      <c r="AM182" s="166"/>
      <c r="AN182" s="166"/>
    </row>
    <row r="183" spans="35:40">
      <c r="AI183" s="166"/>
      <c r="AJ183" s="166"/>
      <c r="AK183" s="166"/>
      <c r="AL183" s="166"/>
      <c r="AM183" s="166"/>
      <c r="AN183" s="166"/>
    </row>
    <row r="184" spans="35:40">
      <c r="AI184" s="166"/>
      <c r="AJ184" s="166"/>
      <c r="AK184" s="166"/>
      <c r="AL184" s="166"/>
      <c r="AM184" s="166"/>
      <c r="AN184" s="166"/>
    </row>
    <row r="185" spans="35:40">
      <c r="AI185" s="166"/>
      <c r="AJ185" s="166"/>
      <c r="AK185" s="166"/>
      <c r="AL185" s="166"/>
      <c r="AM185" s="166"/>
      <c r="AN185" s="166"/>
    </row>
    <row r="186" spans="35:40">
      <c r="AI186" s="166"/>
      <c r="AJ186" s="166"/>
      <c r="AK186" s="166"/>
      <c r="AL186" s="166"/>
      <c r="AM186" s="166"/>
      <c r="AN186" s="166"/>
    </row>
    <row r="187" spans="35:40">
      <c r="AI187" s="166"/>
      <c r="AJ187" s="166"/>
      <c r="AK187" s="166"/>
      <c r="AL187" s="166"/>
      <c r="AM187" s="166"/>
      <c r="AN187" s="166"/>
    </row>
    <row r="188" spans="35:40">
      <c r="AI188" s="166"/>
      <c r="AJ188" s="166"/>
      <c r="AK188" s="166"/>
      <c r="AL188" s="166"/>
      <c r="AM188" s="166"/>
      <c r="AN188" s="166"/>
    </row>
    <row r="189" spans="35:40">
      <c r="AI189" s="166"/>
      <c r="AJ189" s="166"/>
      <c r="AK189" s="166"/>
      <c r="AL189" s="166"/>
      <c r="AM189" s="166"/>
      <c r="AN189" s="166"/>
    </row>
    <row r="190" spans="35:40">
      <c r="AI190" s="166"/>
      <c r="AJ190" s="166"/>
      <c r="AK190" s="166"/>
      <c r="AL190" s="166"/>
      <c r="AM190" s="166"/>
      <c r="AN190" s="166"/>
    </row>
    <row r="191" spans="35:40">
      <c r="AI191" s="166"/>
      <c r="AJ191" s="166"/>
      <c r="AK191" s="166"/>
      <c r="AL191" s="166"/>
      <c r="AM191" s="166"/>
      <c r="AN191" s="166"/>
    </row>
    <row r="192" spans="35:40">
      <c r="AI192" s="166"/>
      <c r="AJ192" s="166"/>
      <c r="AK192" s="166"/>
      <c r="AL192" s="166"/>
      <c r="AM192" s="166"/>
      <c r="AN192" s="166"/>
    </row>
    <row r="193" spans="35:40">
      <c r="AI193" s="166"/>
      <c r="AJ193" s="166"/>
      <c r="AK193" s="166"/>
      <c r="AL193" s="166"/>
      <c r="AM193" s="166"/>
      <c r="AN193" s="166"/>
    </row>
    <row r="194" spans="35:40">
      <c r="AI194" s="166"/>
      <c r="AJ194" s="166"/>
      <c r="AK194" s="166"/>
      <c r="AL194" s="166"/>
      <c r="AM194" s="166"/>
      <c r="AN194" s="166"/>
    </row>
    <row r="195" spans="35:40">
      <c r="AI195" s="166"/>
      <c r="AJ195" s="166"/>
      <c r="AK195" s="166"/>
      <c r="AL195" s="166"/>
      <c r="AM195" s="166"/>
      <c r="AN195" s="166"/>
    </row>
    <row r="196" spans="35:40">
      <c r="AI196" s="166"/>
      <c r="AJ196" s="166"/>
      <c r="AK196" s="166"/>
      <c r="AL196" s="166"/>
      <c r="AM196" s="166"/>
      <c r="AN196" s="166"/>
    </row>
    <row r="197" spans="35:40">
      <c r="AI197" s="166"/>
      <c r="AJ197" s="166"/>
      <c r="AK197" s="166"/>
      <c r="AL197" s="166"/>
      <c r="AM197" s="166"/>
      <c r="AN197" s="166"/>
    </row>
    <row r="198" spans="35:40">
      <c r="AI198" s="166"/>
      <c r="AJ198" s="166"/>
      <c r="AK198" s="166"/>
      <c r="AL198" s="166"/>
      <c r="AM198" s="166"/>
      <c r="AN198" s="166"/>
    </row>
    <row r="199" spans="35:40">
      <c r="AI199" s="166"/>
      <c r="AJ199" s="166"/>
      <c r="AK199" s="166"/>
      <c r="AL199" s="166"/>
      <c r="AM199" s="166"/>
      <c r="AN199" s="166"/>
    </row>
    <row r="200" spans="35:40">
      <c r="AI200" s="166"/>
      <c r="AJ200" s="166"/>
      <c r="AK200" s="166"/>
      <c r="AL200" s="166"/>
      <c r="AM200" s="166"/>
      <c r="AN200" s="166"/>
    </row>
    <row r="201" spans="35:40">
      <c r="AI201" s="166"/>
      <c r="AJ201" s="166"/>
      <c r="AK201" s="166"/>
      <c r="AL201" s="166"/>
      <c r="AM201" s="166"/>
      <c r="AN201" s="166"/>
    </row>
    <row r="202" spans="35:40">
      <c r="AI202" s="166"/>
      <c r="AJ202" s="166"/>
      <c r="AK202" s="166"/>
      <c r="AL202" s="166"/>
      <c r="AM202" s="166"/>
      <c r="AN202" s="166"/>
    </row>
    <row r="203" spans="35:40">
      <c r="AI203" s="166"/>
      <c r="AJ203" s="166"/>
      <c r="AK203" s="166"/>
      <c r="AL203" s="166"/>
      <c r="AM203" s="166"/>
      <c r="AN203" s="166"/>
    </row>
    <row r="204" spans="35:40">
      <c r="AI204" s="166"/>
      <c r="AJ204" s="166"/>
      <c r="AK204" s="166"/>
      <c r="AL204" s="166"/>
      <c r="AM204" s="166"/>
      <c r="AN204" s="166"/>
    </row>
    <row r="205" spans="35:40">
      <c r="AI205" s="166"/>
      <c r="AJ205" s="166"/>
      <c r="AK205" s="166"/>
      <c r="AL205" s="166"/>
      <c r="AM205" s="166"/>
      <c r="AN205" s="166"/>
    </row>
    <row r="206" spans="35:40">
      <c r="AI206" s="166"/>
      <c r="AJ206" s="166"/>
      <c r="AK206" s="166"/>
      <c r="AL206" s="166"/>
      <c r="AM206" s="166"/>
      <c r="AN206" s="166"/>
    </row>
    <row r="207" spans="35:40">
      <c r="AI207" s="166"/>
      <c r="AJ207" s="166"/>
      <c r="AK207" s="166"/>
      <c r="AL207" s="166"/>
      <c r="AM207" s="166"/>
      <c r="AN207" s="166"/>
    </row>
    <row r="208" spans="35:40">
      <c r="AI208" s="166"/>
      <c r="AJ208" s="166"/>
      <c r="AK208" s="166"/>
      <c r="AL208" s="166"/>
      <c r="AM208" s="166"/>
      <c r="AN208" s="166"/>
    </row>
    <row r="209" spans="35:40">
      <c r="AI209" s="166"/>
      <c r="AJ209" s="166"/>
      <c r="AK209" s="166"/>
      <c r="AL209" s="166"/>
      <c r="AM209" s="166"/>
      <c r="AN209" s="166"/>
    </row>
    <row r="210" spans="35:40">
      <c r="AI210" s="166"/>
      <c r="AJ210" s="166"/>
      <c r="AK210" s="166"/>
      <c r="AL210" s="166"/>
      <c r="AM210" s="166"/>
      <c r="AN210" s="166"/>
    </row>
    <row r="211" spans="35:40">
      <c r="AI211" s="166"/>
      <c r="AJ211" s="166"/>
      <c r="AK211" s="166"/>
      <c r="AL211" s="166"/>
      <c r="AM211" s="166"/>
      <c r="AN211" s="166"/>
    </row>
    <row r="212" spans="35:40">
      <c r="AI212" s="166"/>
      <c r="AJ212" s="166"/>
      <c r="AK212" s="166"/>
      <c r="AL212" s="166"/>
      <c r="AM212" s="166"/>
      <c r="AN212" s="166"/>
    </row>
    <row r="213" spans="35:40">
      <c r="AI213" s="166"/>
      <c r="AJ213" s="166"/>
      <c r="AK213" s="166"/>
      <c r="AL213" s="166"/>
      <c r="AM213" s="166"/>
      <c r="AN213" s="166"/>
    </row>
    <row r="214" spans="35:40">
      <c r="AI214" s="166"/>
      <c r="AJ214" s="166"/>
      <c r="AK214" s="166"/>
      <c r="AL214" s="166"/>
      <c r="AM214" s="166"/>
      <c r="AN214" s="166"/>
    </row>
    <row r="215" spans="35:40">
      <c r="AI215" s="166"/>
      <c r="AJ215" s="166"/>
      <c r="AK215" s="166"/>
      <c r="AL215" s="166"/>
      <c r="AM215" s="166"/>
      <c r="AN215" s="166"/>
    </row>
    <row r="216" spans="35:40">
      <c r="AI216" s="166"/>
      <c r="AJ216" s="166"/>
      <c r="AK216" s="166"/>
      <c r="AL216" s="166"/>
      <c r="AM216" s="166"/>
      <c r="AN216" s="166"/>
    </row>
    <row r="217" spans="35:40">
      <c r="AI217" s="166"/>
      <c r="AJ217" s="166"/>
      <c r="AK217" s="166"/>
      <c r="AL217" s="166"/>
      <c r="AM217" s="166"/>
      <c r="AN217" s="166"/>
    </row>
    <row r="218" spans="35:40">
      <c r="AI218" s="166"/>
      <c r="AJ218" s="166"/>
      <c r="AK218" s="166"/>
      <c r="AL218" s="166"/>
      <c r="AM218" s="166"/>
      <c r="AN218" s="166"/>
    </row>
    <row r="219" spans="35:40">
      <c r="AI219" s="166"/>
      <c r="AJ219" s="166"/>
      <c r="AK219" s="166"/>
      <c r="AL219" s="166"/>
      <c r="AM219" s="166"/>
      <c r="AN219" s="166"/>
    </row>
    <row r="220" spans="35:40">
      <c r="AI220" s="166"/>
      <c r="AJ220" s="166"/>
      <c r="AK220" s="166"/>
      <c r="AL220" s="166"/>
      <c r="AM220" s="166"/>
      <c r="AN220" s="166"/>
    </row>
    <row r="221" spans="35:40">
      <c r="AI221" s="166"/>
      <c r="AJ221" s="166"/>
      <c r="AK221" s="166"/>
      <c r="AL221" s="166"/>
      <c r="AM221" s="166"/>
      <c r="AN221" s="166"/>
    </row>
    <row r="222" spans="35:40">
      <c r="AI222" s="166"/>
      <c r="AJ222" s="166"/>
      <c r="AK222" s="166"/>
      <c r="AL222" s="166"/>
      <c r="AM222" s="166"/>
      <c r="AN222" s="166"/>
    </row>
    <row r="223" spans="35:40">
      <c r="AI223" s="166"/>
      <c r="AJ223" s="166"/>
      <c r="AK223" s="166"/>
      <c r="AL223" s="166"/>
      <c r="AM223" s="166"/>
      <c r="AN223" s="166"/>
    </row>
    <row r="224" spans="35:40">
      <c r="AI224" s="166"/>
      <c r="AJ224" s="166"/>
      <c r="AK224" s="166"/>
      <c r="AL224" s="166"/>
      <c r="AM224" s="166"/>
      <c r="AN224" s="166"/>
    </row>
    <row r="225" spans="35:40">
      <c r="AI225" s="166"/>
      <c r="AJ225" s="166"/>
      <c r="AK225" s="166"/>
      <c r="AL225" s="166"/>
      <c r="AM225" s="166"/>
      <c r="AN225" s="166"/>
    </row>
    <row r="226" spans="35:40">
      <c r="AI226" s="166"/>
      <c r="AJ226" s="166"/>
      <c r="AK226" s="166"/>
      <c r="AL226" s="166"/>
      <c r="AM226" s="166"/>
      <c r="AN226" s="166"/>
    </row>
    <row r="227" spans="35:40">
      <c r="AI227" s="166"/>
      <c r="AJ227" s="166"/>
      <c r="AK227" s="166"/>
      <c r="AL227" s="166"/>
      <c r="AM227" s="166"/>
      <c r="AN227" s="166"/>
    </row>
    <row r="228" spans="35:40">
      <c r="AI228" s="166"/>
      <c r="AJ228" s="166"/>
      <c r="AK228" s="166"/>
      <c r="AL228" s="166"/>
      <c r="AM228" s="166"/>
      <c r="AN228" s="166"/>
    </row>
    <row r="229" spans="35:40">
      <c r="AI229" s="166"/>
      <c r="AJ229" s="166"/>
      <c r="AK229" s="166"/>
      <c r="AL229" s="166"/>
      <c r="AM229" s="166"/>
      <c r="AN229" s="166"/>
    </row>
    <row r="230" spans="35:40">
      <c r="AI230" s="166"/>
      <c r="AJ230" s="166"/>
      <c r="AK230" s="166"/>
      <c r="AL230" s="166"/>
      <c r="AM230" s="166"/>
      <c r="AN230" s="166"/>
    </row>
    <row r="231" spans="35:40">
      <c r="AI231" s="166"/>
      <c r="AJ231" s="166"/>
      <c r="AK231" s="166"/>
      <c r="AL231" s="166"/>
      <c r="AM231" s="166"/>
      <c r="AN231" s="166"/>
    </row>
    <row r="232" spans="35:40">
      <c r="AI232" s="166"/>
      <c r="AJ232" s="166"/>
      <c r="AK232" s="166"/>
      <c r="AL232" s="166"/>
      <c r="AM232" s="166"/>
      <c r="AN232" s="166"/>
    </row>
    <row r="233" spans="35:40">
      <c r="AI233" s="166"/>
      <c r="AJ233" s="166"/>
      <c r="AK233" s="166"/>
      <c r="AL233" s="166"/>
      <c r="AM233" s="166"/>
      <c r="AN233" s="166"/>
    </row>
    <row r="234" spans="35:40">
      <c r="AI234" s="166"/>
      <c r="AJ234" s="166"/>
      <c r="AK234" s="166"/>
      <c r="AL234" s="166"/>
      <c r="AM234" s="166"/>
      <c r="AN234" s="166"/>
    </row>
    <row r="235" spans="35:40">
      <c r="AI235" s="166"/>
      <c r="AJ235" s="166"/>
      <c r="AK235" s="166"/>
      <c r="AL235" s="166"/>
      <c r="AM235" s="166"/>
      <c r="AN235" s="166"/>
    </row>
    <row r="236" spans="35:40">
      <c r="AI236" s="166"/>
      <c r="AJ236" s="166"/>
      <c r="AK236" s="166"/>
      <c r="AL236" s="166"/>
      <c r="AM236" s="166"/>
      <c r="AN236" s="166"/>
    </row>
    <row r="237" spans="35:40">
      <c r="AI237" s="166"/>
      <c r="AJ237" s="166"/>
      <c r="AK237" s="166"/>
      <c r="AL237" s="166"/>
      <c r="AM237" s="166"/>
      <c r="AN237" s="166"/>
    </row>
    <row r="238" spans="35:40">
      <c r="AI238" s="166"/>
      <c r="AJ238" s="166"/>
      <c r="AK238" s="166"/>
      <c r="AL238" s="166"/>
      <c r="AM238" s="166"/>
      <c r="AN238" s="166"/>
    </row>
    <row r="239" spans="35:40">
      <c r="AI239" s="166"/>
      <c r="AJ239" s="166"/>
      <c r="AK239" s="166"/>
      <c r="AL239" s="166"/>
      <c r="AM239" s="166"/>
      <c r="AN239" s="166"/>
    </row>
    <row r="240" spans="35:40">
      <c r="AI240" s="166"/>
      <c r="AJ240" s="166"/>
      <c r="AK240" s="166"/>
      <c r="AL240" s="166"/>
      <c r="AM240" s="166"/>
      <c r="AN240" s="166"/>
    </row>
    <row r="241" spans="35:40">
      <c r="AI241" s="166"/>
      <c r="AJ241" s="166"/>
      <c r="AK241" s="166"/>
      <c r="AL241" s="166"/>
      <c r="AM241" s="166"/>
      <c r="AN241" s="166"/>
    </row>
    <row r="242" spans="35:40">
      <c r="AI242" s="166"/>
      <c r="AJ242" s="166"/>
      <c r="AK242" s="166"/>
      <c r="AL242" s="166"/>
      <c r="AM242" s="166"/>
      <c r="AN242" s="166"/>
    </row>
    <row r="243" spans="35:40">
      <c r="AI243" s="166"/>
      <c r="AJ243" s="166"/>
      <c r="AK243" s="166"/>
      <c r="AL243" s="166"/>
      <c r="AM243" s="166"/>
      <c r="AN243" s="166"/>
    </row>
    <row r="244" spans="35:40">
      <c r="AI244" s="166"/>
      <c r="AJ244" s="166"/>
      <c r="AK244" s="166"/>
      <c r="AL244" s="166"/>
      <c r="AM244" s="166"/>
      <c r="AN244" s="166"/>
    </row>
    <row r="245" spans="35:40">
      <c r="AI245" s="166"/>
      <c r="AJ245" s="166"/>
      <c r="AK245" s="166"/>
      <c r="AL245" s="166"/>
      <c r="AM245" s="166"/>
      <c r="AN245" s="166"/>
    </row>
    <row r="246" spans="35:40">
      <c r="AI246" s="166"/>
      <c r="AJ246" s="166"/>
      <c r="AK246" s="166"/>
      <c r="AL246" s="166"/>
      <c r="AM246" s="166"/>
      <c r="AN246" s="166"/>
    </row>
    <row r="247" spans="35:40">
      <c r="AI247" s="166"/>
      <c r="AJ247" s="166"/>
      <c r="AK247" s="166"/>
      <c r="AL247" s="166"/>
      <c r="AM247" s="166"/>
      <c r="AN247" s="166"/>
    </row>
    <row r="248" spans="35:40">
      <c r="AI248" s="166"/>
      <c r="AJ248" s="166"/>
      <c r="AK248" s="166"/>
      <c r="AL248" s="166"/>
      <c r="AM248" s="166"/>
      <c r="AN248" s="166"/>
    </row>
    <row r="249" spans="35:40">
      <c r="AI249" s="166"/>
      <c r="AJ249" s="166"/>
      <c r="AK249" s="166"/>
      <c r="AL249" s="166"/>
      <c r="AM249" s="166"/>
      <c r="AN249" s="166"/>
    </row>
    <row r="250" spans="35:40">
      <c r="AI250" s="166"/>
      <c r="AJ250" s="166"/>
      <c r="AK250" s="166"/>
      <c r="AL250" s="166"/>
      <c r="AM250" s="166"/>
      <c r="AN250" s="166"/>
    </row>
    <row r="251" spans="35:40">
      <c r="AI251" s="166"/>
      <c r="AJ251" s="166"/>
      <c r="AK251" s="166"/>
      <c r="AL251" s="166"/>
      <c r="AM251" s="166"/>
      <c r="AN251" s="166"/>
    </row>
    <row r="252" spans="35:40">
      <c r="AI252" s="166"/>
      <c r="AJ252" s="166"/>
      <c r="AK252" s="166"/>
      <c r="AL252" s="166"/>
      <c r="AM252" s="166"/>
      <c r="AN252" s="166"/>
    </row>
    <row r="253" spans="35:40">
      <c r="AI253" s="166"/>
      <c r="AJ253" s="166"/>
      <c r="AK253" s="166"/>
      <c r="AL253" s="166"/>
      <c r="AM253" s="166"/>
      <c r="AN253" s="166"/>
    </row>
    <row r="254" spans="35:40">
      <c r="AI254" s="166"/>
      <c r="AJ254" s="166"/>
      <c r="AK254" s="166"/>
      <c r="AL254" s="166"/>
      <c r="AM254" s="166"/>
      <c r="AN254" s="166"/>
    </row>
    <row r="255" spans="35:40">
      <c r="AI255" s="166"/>
      <c r="AJ255" s="166"/>
      <c r="AK255" s="166"/>
      <c r="AL255" s="166"/>
      <c r="AM255" s="166"/>
      <c r="AN255" s="166"/>
    </row>
    <row r="256" spans="35:40">
      <c r="AI256" s="166"/>
      <c r="AJ256" s="166"/>
      <c r="AK256" s="166"/>
      <c r="AL256" s="166"/>
      <c r="AM256" s="166"/>
      <c r="AN256" s="166"/>
    </row>
    <row r="257" spans="35:40">
      <c r="AI257" s="166"/>
      <c r="AJ257" s="166"/>
      <c r="AK257" s="166"/>
      <c r="AL257" s="166"/>
      <c r="AM257" s="166"/>
      <c r="AN257" s="166"/>
    </row>
    <row r="258" spans="35:40">
      <c r="AI258" s="166"/>
      <c r="AJ258" s="166"/>
      <c r="AK258" s="166"/>
      <c r="AL258" s="166"/>
      <c r="AM258" s="166"/>
      <c r="AN258" s="166"/>
    </row>
    <row r="259" spans="35:40">
      <c r="AI259" s="166"/>
      <c r="AJ259" s="166"/>
      <c r="AK259" s="166"/>
      <c r="AL259" s="166"/>
      <c r="AM259" s="166"/>
      <c r="AN259" s="166"/>
    </row>
    <row r="260" spans="35:40">
      <c r="AI260" s="166"/>
      <c r="AJ260" s="166"/>
      <c r="AK260" s="166"/>
      <c r="AL260" s="166"/>
      <c r="AM260" s="166"/>
      <c r="AN260" s="166"/>
    </row>
    <row r="261" spans="35:40">
      <c r="AI261" s="166"/>
      <c r="AJ261" s="166"/>
      <c r="AK261" s="166"/>
      <c r="AL261" s="166"/>
      <c r="AM261" s="166"/>
      <c r="AN261" s="166"/>
    </row>
    <row r="262" spans="35:40">
      <c r="AI262" s="166"/>
      <c r="AJ262" s="166"/>
      <c r="AK262" s="166"/>
      <c r="AL262" s="166"/>
      <c r="AM262" s="166"/>
      <c r="AN262" s="166"/>
    </row>
  </sheetData>
  <mergeCells count="11">
    <mergeCell ref="AZ2:BA2"/>
    <mergeCell ref="AF1:AG1"/>
    <mergeCell ref="S1:U1"/>
    <mergeCell ref="AJ1:AO1"/>
    <mergeCell ref="A1:B1"/>
    <mergeCell ref="AC1:AE1"/>
    <mergeCell ref="X1:AA1"/>
    <mergeCell ref="AQ1:AV1"/>
    <mergeCell ref="AX1:BA1"/>
    <mergeCell ref="C1:E1"/>
    <mergeCell ref="G1:P1"/>
  </mergeCells>
  <dataValidations count="1">
    <dataValidation type="list" allowBlank="1" showInputMessage="1" showErrorMessage="1" sqref="BA4 AW4">
      <formula1>$B$16:$B$124</formula1>
    </dataValidation>
  </dataValidation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sheetPr codeName="Sheet3">
    <tabColor rgb="FF92D050"/>
  </sheetPr>
  <dimension ref="A1:BM283"/>
  <sheetViews>
    <sheetView workbookViewId="0">
      <pane xSplit="2" ySplit="3" topLeftCell="C4" activePane="bottomRight" state="frozen"/>
      <selection activeCell="C5" sqref="C5"/>
      <selection pane="topRight" activeCell="C5" sqref="C5"/>
      <selection pane="bottomLeft" activeCell="C5" sqref="C5"/>
      <selection pane="bottomRight" activeCell="I10" sqref="I10"/>
    </sheetView>
  </sheetViews>
  <sheetFormatPr defaultRowHeight="12" outlineLevelCol="1"/>
  <cols>
    <col min="1" max="1" width="11.28515625" style="109" customWidth="1"/>
    <col min="2" max="2" width="6.5703125" style="109" customWidth="1"/>
    <col min="3" max="3" width="3" style="109" customWidth="1"/>
    <col min="4" max="4" width="11.7109375" style="109" hidden="1" customWidth="1" outlineLevel="1"/>
    <col min="5" max="5" width="12.28515625" style="109" hidden="1" customWidth="1" outlineLevel="1"/>
    <col min="6" max="6" width="11.140625" style="109" hidden="1" customWidth="1" outlineLevel="1"/>
    <col min="7" max="7" width="11.7109375" style="109" hidden="1" customWidth="1" outlineLevel="1"/>
    <col min="8" max="8" width="11.42578125" style="109" hidden="1" customWidth="1" outlineLevel="1"/>
    <col min="9" max="10" width="12.140625" style="109" hidden="1" customWidth="1" outlineLevel="1"/>
    <col min="11" max="11" width="11.85546875" style="109" hidden="1" customWidth="1" outlineLevel="1"/>
    <col min="12" max="12" width="3.42578125" style="109" hidden="1" customWidth="1" outlineLevel="1"/>
    <col min="13" max="13" width="9.5703125" style="109" customWidth="1" collapsed="1"/>
    <col min="14" max="14" width="9.7109375" style="109" customWidth="1"/>
    <col min="15" max="16" width="9.5703125" style="109" customWidth="1"/>
    <col min="17" max="17" width="9.7109375" style="109" customWidth="1"/>
    <col min="18" max="18" width="10.28515625" style="109" customWidth="1"/>
    <col min="19" max="19" width="10.42578125" style="109" customWidth="1"/>
    <col min="20" max="20" width="3.5703125" style="109" customWidth="1"/>
    <col min="21" max="21" width="11.140625" style="109" customWidth="1"/>
    <col min="22" max="22" width="10.28515625" style="109" customWidth="1"/>
    <col min="23" max="23" width="11" style="109" customWidth="1"/>
    <col min="24" max="24" width="10.5703125" style="109" customWidth="1"/>
    <col min="25" max="25" width="10.42578125" style="109" customWidth="1"/>
    <col min="26" max="26" width="10.5703125" style="109" customWidth="1"/>
    <col min="27" max="27" width="10.42578125" style="109" customWidth="1"/>
    <col min="28" max="28" width="3.7109375" style="109" customWidth="1"/>
    <col min="29" max="30" width="11.85546875" style="109" hidden="1" customWidth="1" outlineLevel="1"/>
    <col min="31" max="31" width="11.5703125" style="109" hidden="1" customWidth="1" outlineLevel="1"/>
    <col min="32" max="32" width="11.85546875" style="109" hidden="1" customWidth="1" outlineLevel="1"/>
    <col min="33" max="33" width="11.42578125" style="109" hidden="1" customWidth="1" outlineLevel="1"/>
    <col min="34" max="36" width="11.5703125" style="109" hidden="1" customWidth="1" outlineLevel="1"/>
    <col min="37" max="39" width="11.7109375" style="109" hidden="1" customWidth="1" outlineLevel="1"/>
    <col min="40" max="40" width="11.5703125" style="109" hidden="1" customWidth="1" outlineLevel="1"/>
    <col min="41" max="42" width="11.7109375" style="109" hidden="1" customWidth="1" outlineLevel="1"/>
    <col min="43" max="43" width="12" style="109" hidden="1" customWidth="1" outlineLevel="1"/>
    <col min="44" max="45" width="11" style="109" hidden="1" customWidth="1" outlineLevel="1"/>
    <col min="46" max="46" width="11.85546875" style="109" hidden="1" customWidth="1" outlineLevel="1"/>
    <col min="47" max="48" width="11" style="109" hidden="1" customWidth="1" outlineLevel="1"/>
    <col min="49" max="49" width="11.85546875" style="109" hidden="1" customWidth="1" outlineLevel="1"/>
    <col min="50" max="50" width="3.5703125" style="109" hidden="1" customWidth="1" outlineLevel="1"/>
    <col min="51" max="51" width="9.140625" style="109" collapsed="1"/>
    <col min="52" max="57" width="9.140625" style="109"/>
    <col min="58" max="58" width="4.140625" style="109" customWidth="1"/>
    <col min="59" max="59" width="10.5703125" style="109" customWidth="1"/>
    <col min="60" max="60" width="10.28515625" style="109" customWidth="1"/>
    <col min="61" max="61" width="9.85546875" style="109" customWidth="1"/>
    <col min="62" max="62" width="10" style="109" customWidth="1"/>
    <col min="63" max="63" width="10.140625" style="109" customWidth="1"/>
    <col min="64" max="65" width="10.42578125" style="109" customWidth="1"/>
    <col min="66" max="16384" width="9.140625" style="109"/>
  </cols>
  <sheetData>
    <row r="1" spans="1:65">
      <c r="A1" s="334" t="s">
        <v>94</v>
      </c>
      <c r="B1" s="342"/>
      <c r="C1" s="210"/>
      <c r="D1" s="342" t="s">
        <v>104</v>
      </c>
      <c r="E1" s="342"/>
      <c r="F1" s="342"/>
      <c r="G1" s="342"/>
      <c r="H1" s="342"/>
      <c r="I1" s="342"/>
      <c r="J1" s="342"/>
      <c r="K1" s="342"/>
      <c r="L1" s="103"/>
      <c r="M1" s="339" t="s">
        <v>82</v>
      </c>
      <c r="N1" s="340"/>
      <c r="O1" s="340"/>
      <c r="P1" s="340"/>
      <c r="Q1" s="340"/>
      <c r="R1" s="340"/>
      <c r="S1" s="341"/>
      <c r="T1" s="210"/>
      <c r="U1" s="339" t="s">
        <v>82</v>
      </c>
      <c r="V1" s="340"/>
      <c r="W1" s="340"/>
      <c r="X1" s="340"/>
      <c r="Y1" s="340"/>
      <c r="Z1" s="340"/>
      <c r="AA1" s="341"/>
      <c r="AB1" s="103"/>
      <c r="AC1" s="334" t="s">
        <v>105</v>
      </c>
      <c r="AD1" s="342"/>
      <c r="AE1" s="342"/>
      <c r="AF1" s="342"/>
      <c r="AG1" s="342"/>
      <c r="AH1" s="342"/>
      <c r="AI1" s="342"/>
      <c r="AJ1" s="342"/>
      <c r="AK1" s="342"/>
      <c r="AL1" s="342"/>
      <c r="AM1" s="342"/>
      <c r="AN1" s="342"/>
      <c r="AO1" s="342"/>
      <c r="AP1" s="342"/>
      <c r="AQ1" s="342"/>
      <c r="AR1" s="342"/>
      <c r="AS1" s="342"/>
      <c r="AT1" s="342"/>
      <c r="AU1" s="342"/>
      <c r="AV1" s="342"/>
      <c r="AW1" s="335"/>
      <c r="AX1" s="103"/>
      <c r="AY1" s="339" t="s">
        <v>107</v>
      </c>
      <c r="AZ1" s="340"/>
      <c r="BA1" s="340"/>
      <c r="BB1" s="340"/>
      <c r="BC1" s="340"/>
      <c r="BD1" s="340"/>
      <c r="BE1" s="341"/>
      <c r="BF1" s="103"/>
      <c r="BG1" s="339" t="s">
        <v>107</v>
      </c>
      <c r="BH1" s="340"/>
      <c r="BI1" s="340"/>
      <c r="BJ1" s="340"/>
      <c r="BK1" s="340"/>
      <c r="BL1" s="340"/>
      <c r="BM1" s="341"/>
    </row>
    <row r="2" spans="1:65" ht="24">
      <c r="A2" s="110" t="s">
        <v>2</v>
      </c>
      <c r="B2" s="115" t="s">
        <v>3</v>
      </c>
      <c r="C2" s="113"/>
      <c r="D2" s="211" t="str">
        <f>Model_Mthly!AQ2</f>
        <v>CFBT</v>
      </c>
      <c r="E2" s="344" t="s">
        <v>89</v>
      </c>
      <c r="F2" s="345"/>
      <c r="G2" s="345"/>
      <c r="H2" s="345"/>
      <c r="I2" s="345"/>
      <c r="J2" s="345"/>
      <c r="K2" s="345"/>
      <c r="L2" s="113"/>
      <c r="M2" s="343" t="s">
        <v>85</v>
      </c>
      <c r="N2" s="343"/>
      <c r="O2" s="343"/>
      <c r="P2" s="343"/>
      <c r="Q2" s="343"/>
      <c r="R2" s="343"/>
      <c r="S2" s="343"/>
      <c r="T2" s="210"/>
      <c r="U2" s="343" t="s">
        <v>86</v>
      </c>
      <c r="V2" s="343"/>
      <c r="W2" s="343"/>
      <c r="X2" s="343"/>
      <c r="Y2" s="343"/>
      <c r="Z2" s="343"/>
      <c r="AA2" s="333"/>
      <c r="AB2" s="103"/>
      <c r="AC2" s="212" t="str">
        <f>Model_Mthly!$AQ$2</f>
        <v>CFBT</v>
      </c>
      <c r="AD2" s="212" t="s">
        <v>106</v>
      </c>
      <c r="AE2" s="212" t="str">
        <f>Model_Mthly!$AR$2</f>
        <v>Terminal CFBT</v>
      </c>
      <c r="AF2" s="213" t="str">
        <f>Model_Mthly!$AQ$2</f>
        <v>CFBT</v>
      </c>
      <c r="AG2" s="213" t="s">
        <v>106</v>
      </c>
      <c r="AH2" s="213" t="str">
        <f>Model_Mthly!$AR$2</f>
        <v>Terminal CFBT</v>
      </c>
      <c r="AI2" s="212" t="str">
        <f>Model_Mthly!$AQ$2</f>
        <v>CFBT</v>
      </c>
      <c r="AJ2" s="212" t="s">
        <v>106</v>
      </c>
      <c r="AK2" s="212" t="str">
        <f>Model_Mthly!$AR$2</f>
        <v>Terminal CFBT</v>
      </c>
      <c r="AL2" s="213" t="str">
        <f>Model_Mthly!$AQ$2</f>
        <v>CFBT</v>
      </c>
      <c r="AM2" s="213" t="s">
        <v>106</v>
      </c>
      <c r="AN2" s="213" t="str">
        <f>Model_Mthly!$AR$2</f>
        <v>Terminal CFBT</v>
      </c>
      <c r="AO2" s="212" t="str">
        <f>Model_Mthly!$AQ$2</f>
        <v>CFBT</v>
      </c>
      <c r="AP2" s="212" t="s">
        <v>106</v>
      </c>
      <c r="AQ2" s="212" t="str">
        <f>Model_Mthly!$AR$2</f>
        <v>Terminal CFBT</v>
      </c>
      <c r="AR2" s="213" t="str">
        <f>Model_Mthly!$AQ$2</f>
        <v>CFBT</v>
      </c>
      <c r="AS2" s="213" t="s">
        <v>106</v>
      </c>
      <c r="AT2" s="213" t="str">
        <f>Model_Mthly!$AR$2</f>
        <v>Terminal CFBT</v>
      </c>
      <c r="AU2" s="212" t="str">
        <f>Model_Mthly!$AQ$2</f>
        <v>CFBT</v>
      </c>
      <c r="AV2" s="212" t="s">
        <v>106</v>
      </c>
      <c r="AW2" s="212" t="str">
        <f>Model_Mthly!$AR$2</f>
        <v>Terminal CFBT</v>
      </c>
      <c r="AX2" s="103"/>
      <c r="AY2" s="332" t="s">
        <v>85</v>
      </c>
      <c r="AZ2" s="343"/>
      <c r="BA2" s="343"/>
      <c r="BB2" s="343"/>
      <c r="BC2" s="343"/>
      <c r="BD2" s="343"/>
      <c r="BE2" s="333"/>
      <c r="BF2" s="103"/>
      <c r="BG2" s="332" t="s">
        <v>86</v>
      </c>
      <c r="BH2" s="343"/>
      <c r="BI2" s="343"/>
      <c r="BJ2" s="343"/>
      <c r="BK2" s="343"/>
      <c r="BL2" s="343"/>
      <c r="BM2" s="333"/>
    </row>
    <row r="3" spans="1:65">
      <c r="A3" s="126"/>
      <c r="B3" s="126"/>
      <c r="C3" s="103"/>
      <c r="D3" s="142"/>
      <c r="E3" s="214">
        <f>F3-0.0025</f>
        <v>7.2499999999999995E-2</v>
      </c>
      <c r="F3" s="214">
        <f>G3-0.0025</f>
        <v>7.4999999999999997E-2</v>
      </c>
      <c r="G3" s="214">
        <f>H3-0.0025</f>
        <v>7.7499999999999999E-2</v>
      </c>
      <c r="H3" s="215">
        <f>cap_rate</f>
        <v>0.08</v>
      </c>
      <c r="I3" s="214">
        <f>H3+0.0025</f>
        <v>8.2500000000000004E-2</v>
      </c>
      <c r="J3" s="214">
        <f t="shared" ref="J3:K3" si="0">I3+0.0025</f>
        <v>8.5000000000000006E-2</v>
      </c>
      <c r="K3" s="216">
        <f t="shared" si="0"/>
        <v>8.7500000000000008E-2</v>
      </c>
      <c r="L3" s="217"/>
      <c r="M3" s="218">
        <f t="shared" ref="M3:S3" si="1">E3</f>
        <v>7.2499999999999995E-2</v>
      </c>
      <c r="N3" s="218">
        <f t="shared" si="1"/>
        <v>7.4999999999999997E-2</v>
      </c>
      <c r="O3" s="218">
        <f t="shared" si="1"/>
        <v>7.7499999999999999E-2</v>
      </c>
      <c r="P3" s="127">
        <f t="shared" si="1"/>
        <v>0.08</v>
      </c>
      <c r="Q3" s="218">
        <f t="shared" si="1"/>
        <v>8.2500000000000004E-2</v>
      </c>
      <c r="R3" s="218">
        <f t="shared" si="1"/>
        <v>8.5000000000000006E-2</v>
      </c>
      <c r="S3" s="218">
        <f t="shared" si="1"/>
        <v>8.7500000000000008E-2</v>
      </c>
      <c r="T3" s="219"/>
      <c r="U3" s="218">
        <f t="shared" ref="U3:AA3" si="2">M3</f>
        <v>7.2499999999999995E-2</v>
      </c>
      <c r="V3" s="218">
        <f t="shared" si="2"/>
        <v>7.4999999999999997E-2</v>
      </c>
      <c r="W3" s="218">
        <f t="shared" si="2"/>
        <v>7.7499999999999999E-2</v>
      </c>
      <c r="X3" s="127">
        <f>H3</f>
        <v>0.08</v>
      </c>
      <c r="Y3" s="218">
        <f t="shared" si="2"/>
        <v>8.2500000000000004E-2</v>
      </c>
      <c r="Z3" s="218">
        <f t="shared" si="2"/>
        <v>8.5000000000000006E-2</v>
      </c>
      <c r="AA3" s="218">
        <f t="shared" si="2"/>
        <v>8.7500000000000008E-2</v>
      </c>
      <c r="AB3" s="103"/>
      <c r="AC3" s="220">
        <f>AE3</f>
        <v>4.7499999999999994E-2</v>
      </c>
      <c r="AD3" s="220">
        <f>AE3</f>
        <v>4.7499999999999994E-2</v>
      </c>
      <c r="AE3" s="220">
        <f>AH3-0.0025</f>
        <v>4.7499999999999994E-2</v>
      </c>
      <c r="AF3" s="221">
        <f>AH3</f>
        <v>4.9999999999999996E-2</v>
      </c>
      <c r="AG3" s="221">
        <f>AH3</f>
        <v>4.9999999999999996E-2</v>
      </c>
      <c r="AH3" s="221">
        <f>AK3-0.0025</f>
        <v>4.9999999999999996E-2</v>
      </c>
      <c r="AI3" s="220">
        <f>AK3</f>
        <v>5.2499999999999998E-2</v>
      </c>
      <c r="AJ3" s="220">
        <f>AK3</f>
        <v>5.2499999999999998E-2</v>
      </c>
      <c r="AK3" s="220">
        <f>AN3-0.0025</f>
        <v>5.2499999999999998E-2</v>
      </c>
      <c r="AL3" s="222">
        <f>interest_rate</f>
        <v>5.5E-2</v>
      </c>
      <c r="AM3" s="222">
        <f>interest_rate</f>
        <v>5.5E-2</v>
      </c>
      <c r="AN3" s="222">
        <f>interest_rate</f>
        <v>5.5E-2</v>
      </c>
      <c r="AO3" s="220">
        <f>AN3+0.0025</f>
        <v>5.7500000000000002E-2</v>
      </c>
      <c r="AP3" s="220">
        <f>AO3</f>
        <v>5.7500000000000002E-2</v>
      </c>
      <c r="AQ3" s="220">
        <f>AO3</f>
        <v>5.7500000000000002E-2</v>
      </c>
      <c r="AR3" s="221">
        <f>AO3+0.0025</f>
        <v>6.0000000000000005E-2</v>
      </c>
      <c r="AS3" s="221">
        <f>AR3</f>
        <v>6.0000000000000005E-2</v>
      </c>
      <c r="AT3" s="221">
        <f>AR3</f>
        <v>6.0000000000000005E-2</v>
      </c>
      <c r="AU3" s="220">
        <f>AR3+0.0025</f>
        <v>6.25E-2</v>
      </c>
      <c r="AV3" s="220">
        <f>AU3</f>
        <v>6.25E-2</v>
      </c>
      <c r="AW3" s="220">
        <f>AU3</f>
        <v>6.25E-2</v>
      </c>
      <c r="AX3" s="103"/>
      <c r="AY3" s="218">
        <f>AE3</f>
        <v>4.7499999999999994E-2</v>
      </c>
      <c r="AZ3" s="218">
        <f>AH3</f>
        <v>4.9999999999999996E-2</v>
      </c>
      <c r="BA3" s="218">
        <f>AK3</f>
        <v>5.2499999999999998E-2</v>
      </c>
      <c r="BB3" s="127">
        <f>AN3</f>
        <v>5.5E-2</v>
      </c>
      <c r="BC3" s="218">
        <f>AQ3</f>
        <v>5.7500000000000002E-2</v>
      </c>
      <c r="BD3" s="218">
        <f>AT3</f>
        <v>6.0000000000000005E-2</v>
      </c>
      <c r="BE3" s="218">
        <f>AW3</f>
        <v>6.25E-2</v>
      </c>
      <c r="BF3" s="103"/>
      <c r="BG3" s="218">
        <f t="shared" ref="BG3:BM3" si="3">AY3</f>
        <v>4.7499999999999994E-2</v>
      </c>
      <c r="BH3" s="218">
        <f t="shared" si="3"/>
        <v>4.9999999999999996E-2</v>
      </c>
      <c r="BI3" s="218">
        <f t="shared" si="3"/>
        <v>5.2499999999999998E-2</v>
      </c>
      <c r="BJ3" s="127">
        <f t="shared" si="3"/>
        <v>5.5E-2</v>
      </c>
      <c r="BK3" s="218">
        <f t="shared" si="3"/>
        <v>5.7500000000000002E-2</v>
      </c>
      <c r="BL3" s="218">
        <f t="shared" si="3"/>
        <v>6.0000000000000005E-2</v>
      </c>
      <c r="BM3" s="218">
        <f t="shared" si="3"/>
        <v>6.25E-2</v>
      </c>
    </row>
    <row r="4" spans="1:65">
      <c r="A4" s="137">
        <f>Model_Mthly!A4</f>
        <v>40162</v>
      </c>
      <c r="B4" s="138">
        <f>Model_Mthly!B4</f>
        <v>0</v>
      </c>
      <c r="C4" s="223"/>
      <c r="D4" s="140">
        <f>Model_Mthly!AQ4</f>
        <v>-11200000</v>
      </c>
      <c r="E4" s="224"/>
      <c r="F4" s="225"/>
      <c r="G4" s="225"/>
      <c r="H4" s="225"/>
      <c r="I4" s="225"/>
      <c r="J4" s="225"/>
      <c r="K4" s="226"/>
      <c r="L4" s="103"/>
      <c r="M4" s="227"/>
      <c r="N4" s="225"/>
      <c r="O4" s="225"/>
      <c r="P4" s="225"/>
      <c r="Q4" s="225"/>
      <c r="R4" s="225"/>
      <c r="S4" s="226"/>
      <c r="T4" s="103"/>
      <c r="U4" s="227"/>
      <c r="V4" s="225"/>
      <c r="W4" s="225"/>
      <c r="X4" s="225"/>
      <c r="Y4" s="225"/>
      <c r="Z4" s="225"/>
      <c r="AA4" s="226"/>
      <c r="AB4" s="103"/>
      <c r="AC4" s="149">
        <f>Model_Mthly!$AQ$4</f>
        <v>-11200000</v>
      </c>
      <c r="AD4" s="228"/>
      <c r="AE4" s="143"/>
      <c r="AF4" s="149">
        <f>Model_Mthly!$AQ$4</f>
        <v>-11200000</v>
      </c>
      <c r="AG4" s="143"/>
      <c r="AH4" s="143"/>
      <c r="AI4" s="149">
        <f>Model_Mthly!$AQ$4</f>
        <v>-11200000</v>
      </c>
      <c r="AJ4" s="143"/>
      <c r="AK4" s="143"/>
      <c r="AL4" s="229">
        <f>Model_Mthly!$AQ$4</f>
        <v>-11200000</v>
      </c>
      <c r="AM4" s="230"/>
      <c r="AN4" s="230"/>
      <c r="AO4" s="149">
        <f>Model_Mthly!$AQ$4</f>
        <v>-11200000</v>
      </c>
      <c r="AP4" s="143"/>
      <c r="AQ4" s="143"/>
      <c r="AR4" s="149">
        <f>Model_Mthly!$AQ$4</f>
        <v>-11200000</v>
      </c>
      <c r="AS4" s="143"/>
      <c r="AT4" s="143"/>
      <c r="AU4" s="149">
        <f>Model_Mthly!$AQ$4</f>
        <v>-11200000</v>
      </c>
      <c r="AV4" s="143"/>
      <c r="AW4" s="143"/>
      <c r="AX4" s="103"/>
      <c r="AY4" s="227"/>
      <c r="AZ4" s="225"/>
      <c r="BA4" s="225"/>
      <c r="BB4" s="225"/>
      <c r="BC4" s="225"/>
      <c r="BD4" s="225"/>
      <c r="BE4" s="226"/>
      <c r="BF4" s="103"/>
      <c r="BG4" s="227"/>
      <c r="BH4" s="225"/>
      <c r="BI4" s="225"/>
      <c r="BJ4" s="225"/>
      <c r="BK4" s="225"/>
      <c r="BL4" s="225"/>
      <c r="BM4" s="226"/>
    </row>
    <row r="5" spans="1:65">
      <c r="A5" s="137">
        <f>Model_Mthly!A5</f>
        <v>40193</v>
      </c>
      <c r="B5" s="138">
        <f>Model_Mthly!B5</f>
        <v>1</v>
      </c>
      <c r="C5" s="223"/>
      <c r="D5" s="139">
        <f>Model_Mthly!AQ5</f>
        <v>95838.044872034778</v>
      </c>
      <c r="E5" s="231">
        <f>IF(OR($H$3&lt;=0.0075,$H$3=""),0,SUM(Model_Mthly!AQ5,(SUM(Model_Mthly!Q6:Q17)/$E$3)*(1-cost_of_sale),-Model_Mthly!V5))</f>
        <v>13145667.83678161</v>
      </c>
      <c r="F5" s="231">
        <f>IF(OR($H$3&lt;=0.0075,$H$3=""),0,SUM(Model_Mthly!AQ5,(SUM(Model_Mthly!Q6:Q17)/$F$3)*(1-cost_of_sale),-Model_Mthly!V5))</f>
        <v>12394353.453333329</v>
      </c>
      <c r="G5" s="231">
        <f>IF(OR($H$3&lt;=0.0075,$H$3=""),0,SUM(Model_Mthly!AQ5,(SUM(Model_Mthly!Q6:Q17)/$G$3)*(1-cost_of_sale),-Model_Mthly!V5))</f>
        <v>11691510.965591397</v>
      </c>
      <c r="H5" s="232">
        <f>IF(OR($H$3&lt;=0.0075,$H$3=""),0,SUM(Model_Mthly!AQ5,(SUM(Model_Mthly!Q6:Q17)/$H$3)*(1-cost_of_sale),-Model_Mthly!V5))</f>
        <v>11032596.133333333</v>
      </c>
      <c r="I5" s="231">
        <f>IF(OR($H$3&lt;=0.0075,$H$3=""),0,SUM(Model_Mthly!AQ5,(SUM(Model_Mthly!Q6:Q17)/$I$3)*(1-cost_of_sale),-Model_Mthly!V5))</f>
        <v>10413615.533333328</v>
      </c>
      <c r="J5" s="231">
        <f>IF(OR($H$3&lt;=0.0075,$H$3=""),0,SUM(Model_Mthly!AQ5,(SUM(Model_Mthly!Q6:Q17)/$J$3)*(1-cost_of_sale),-Model_Mthly!V5))</f>
        <v>9831045.556862738</v>
      </c>
      <c r="K5" s="231">
        <f>IF(OR($H$3&lt;=0.0075,$H$3=""),0,SUM(Model_Mthly!AQ5,(SUM(Model_Mthly!Q6:Q17)/$K$3)*(1-cost_of_sale),-Model_Mthly!V5))</f>
        <v>9281765.2933333293</v>
      </c>
      <c r="L5" s="160"/>
      <c r="M5" s="302">
        <f>IF(OR($H$3&lt;=0.0075,$H$3="",down_payment&lt;=0),"N/A",IRR(($D$4:D4,E5),))</f>
        <v>0.17372034256978658</v>
      </c>
      <c r="N5" s="288">
        <f>IF(OR($H$3&lt;=0.0075,$H$3="",down_payment&lt;=0),"N/A",IRR(($D$4:D4,F5),))</f>
        <v>0.10663870119047583</v>
      </c>
      <c r="O5" s="288">
        <f>IF(OR($H$3&lt;=0.0075,$H$3="",down_payment&lt;=0),"N/A",IRR(($D$4:D4,G5),))</f>
        <v>4.3884907642089153E-2</v>
      </c>
      <c r="P5" s="303">
        <f>IF(OR($H$3&lt;=0.0075,$H$3="",down_payment&lt;=0),"N/A",IRR(($D$4:D4,H5),))</f>
        <v>-1.4946773809525736E-2</v>
      </c>
      <c r="Q5" s="288">
        <f>IF(OR($H$3&lt;=0.0075,$H$3="",down_payment&lt;=0),"N/A",IRR(($D$4:D4,I5),))</f>
        <v>-7.021289880952214E-2</v>
      </c>
      <c r="R5" s="288">
        <f>IF(OR($H$3&lt;=0.0075,$H$3="",down_payment&lt;=0),"N/A",IRR(($D$4:D4,J5),))</f>
        <v>-0.12222807528011269</v>
      </c>
      <c r="S5" s="288">
        <f>IF(OR($H$3&lt;=0.0075,$H$3="",down_payment&lt;=0),"N/A",IRR(($D$4:D4,K5),))</f>
        <v>-0.17127095595237812</v>
      </c>
      <c r="T5" s="233"/>
      <c r="U5" s="304">
        <f t="shared" ref="U5:U36" si="4">IF(OR($H$3&lt;=0.0075,$H$3="",down_payment&lt;=0),"N/A",((1+M5)^12)-1)</f>
        <v>5.8355833068596272</v>
      </c>
      <c r="V5" s="304">
        <f t="shared" ref="V5:V36" si="5">IF(OR($H$3&lt;=0.0075,$H$3="",down_payment&lt;=0),"N/A",((1+N5)^12)-1)</f>
        <v>2.3734187202187567</v>
      </c>
      <c r="W5" s="304">
        <f t="shared" ref="W5:W36" si="6">IF(OR($H$3&lt;=0.0075,$H$3="",down_payment&lt;=0),"N/A",((1+O5)^12)-1)</f>
        <v>0.67429285486394464</v>
      </c>
      <c r="X5" s="305">
        <f t="shared" ref="X5:X36" si="7">IF(OR($H$3&lt;=0.0075,$H$3="",down_payment&lt;=0),"N/A",((1+P5)^12)-1)</f>
        <v>-0.16532698559434866</v>
      </c>
      <c r="Y5" s="304">
        <f t="shared" ref="Y5:Y36" si="8">IF(OR($H$3&lt;=0.0075,$H$3="",down_payment&lt;=0),"N/A",((1+Q5)^12)-1)</f>
        <v>-0.58255217389558855</v>
      </c>
      <c r="Z5" s="304">
        <f t="shared" ref="Z5:Z36" si="9">IF(OR($H$3&lt;=0.0075,$H$3="",down_payment&lt;=0),"N/A",((1+R5)^12)-1)</f>
        <v>-0.79079106368929275</v>
      </c>
      <c r="AA5" s="304">
        <f t="shared" ref="AA5:AA36" si="10">IF(OR($H$3&lt;=0.0075,$H$3="",down_payment&lt;=0),"N/A",((1+S5)^12)-1)</f>
        <v>-0.89505766689574551</v>
      </c>
      <c r="AB5" s="103"/>
      <c r="AC5" s="149">
        <f>SUM(Model_Mthly!$Q5,-IF(AND(leveraged_property,B5&lt;=amort_period),-PMT(AC$3/12,amort_period,loan_amount),0))</f>
        <v>100221.50303220388</v>
      </c>
      <c r="AD5" s="149">
        <f>IF(leveraged_property,loan_amount,0)+IF(AND(leveraged_property,$B5&lt;=amort_period),PPMT(AD$3/12,$B5,amort_period,loan_amount),0)</f>
        <v>9488047.6696988698</v>
      </c>
      <c r="AE5" s="149">
        <f ca="1">SUM(AC5,Model_Mthly!$AA5,-AD5)</f>
        <v>11038533.633333335</v>
      </c>
      <c r="AF5" s="149">
        <f>SUM(Model_Mthly!$Q5,-IF(AND(leveraged_property,B5&lt;=amort_period),-PMT(AF$3/12,amort_period,loan_amount),0))</f>
        <v>98779.945813846876</v>
      </c>
      <c r="AG5" s="149">
        <f>IF(leveraged_property,loan_amount,0)+IF(AND(leveraged_property,$B5&lt;=amort_period),PPMT(AG$3/12,$B5,amort_period,loan_amount),0)</f>
        <v>9488585.2791471798</v>
      </c>
      <c r="AH5" s="149">
        <f ca="1">SUM(AF5,Model_Mthly!$AA5,-AG5)</f>
        <v>11036554.466666667</v>
      </c>
      <c r="AI5" s="149">
        <f>SUM(Model_Mthly!$Q5,-IF(AND(leveraged_property,B5&lt;=amort_period),-PMT(AI$3/12,amort_period,loan_amount),0))</f>
        <v>97318.648296520172</v>
      </c>
      <c r="AJ5" s="149">
        <f>IF(leveraged_property,loan_amount,0)+IF(AND(leveraged_property,$B5&lt;=amort_period),PPMT(AJ$3/12,$B5,amort_period,loan_amount),0)</f>
        <v>9489103.1482965201</v>
      </c>
      <c r="AK5" s="149">
        <f ca="1">SUM(AI5,Model_Mthly!$AA5,-AJ5)</f>
        <v>11034575.300000001</v>
      </c>
      <c r="AL5" s="229">
        <f>SUM(Model_Mthly!$Q5,-IF(AND(leveraged_property,B5&lt;=amort_period),-PMT(AL$3/12,amort_period,loan_amount),0))</f>
        <v>95838.044872034778</v>
      </c>
      <c r="AM5" s="229">
        <f>IF(leveraged_property,loan_amount,0)+IF(AND(leveraged_property,$B5&lt;=amort_period),PPMT(AM$3/12,$B5,amort_period,loan_amount),0)</f>
        <v>9489601.7115387022</v>
      </c>
      <c r="AN5" s="229">
        <f ca="1">SUM(AL5,Model_Mthly!$AA5,-AM5)</f>
        <v>11032596.133333333</v>
      </c>
      <c r="AO5" s="149">
        <f>SUM(Model_Mthly!$Q5,-IF(AND(leveraged_property,B5&lt;=amort_period),-PMT(AO$3/12,amort_period,loan_amount),0))</f>
        <v>94338.578637862578</v>
      </c>
      <c r="AP5" s="162">
        <f>IF(leveraged_property,loan_amount,0)+IF(AND(leveraged_property,$B5&lt;=amort_period),PPMT(AP$3/12,$B5,amort_period,loan_amount),0)</f>
        <v>9490081.4119711965</v>
      </c>
      <c r="AQ5" s="149">
        <f ca="1">SUM(AO5,Model_Mthly!$AA5,-AP5)</f>
        <v>11030616.966666669</v>
      </c>
      <c r="AR5" s="149">
        <f>SUM(Model_Mthly!$Q5,-IF(AND(leveraged_property,B5&lt;=amort_period),-PMT(AR$3/12,amort_period,loan_amount),0))</f>
        <v>92820.700110487902</v>
      </c>
      <c r="AS5" s="162">
        <f>IF(leveraged_property,loan_amount,0)+IF(AND(leveraged_property,$B5&lt;=amort_period),PPMT(AS$3/12,$B5,amort_period,loan_amount),0)</f>
        <v>9490542.7001104876</v>
      </c>
      <c r="AT5" s="149">
        <f ca="1">SUM(AR5,Model_Mthly!$AA5,-AS5)</f>
        <v>11028637.800000001</v>
      </c>
      <c r="AU5" s="149">
        <f>SUM(Model_Mthly!$Q5,-IF(AND(leveraged_property,B5&lt;=amort_period),-PMT(AU$3/12,amort_period,loan_amount),0))</f>
        <v>91284.865959492614</v>
      </c>
      <c r="AV5" s="162">
        <f>IF(leveraged_property,loan_amount,0)+IF(AND(leveraged_property,$B5&lt;=amort_period),PPMT(AV$3/12,$B5,amort_period,loan_amount),0)</f>
        <v>9490986.0326261595</v>
      </c>
      <c r="AW5" s="149">
        <f ca="1">SUM(AU5,Model_Mthly!$AA5,-AV5)</f>
        <v>11026658.633333333</v>
      </c>
      <c r="AX5" s="103"/>
      <c r="AY5" s="288">
        <f ca="1">IF(AND(leveraged_property,down_payment&gt;0),IRR(($AC$4:AC4,AE5),),"N/A")</f>
        <v>-1.4416639880953609E-2</v>
      </c>
      <c r="AZ5" s="288">
        <f ca="1">IF(AND(leveraged_property,down_payment&gt;0),IRR(($AF$4:AF4,AH5),),"N/A")</f>
        <v>-1.4593351190477857E-2</v>
      </c>
      <c r="BA5" s="288">
        <f ca="1">IF(AND(leveraged_property,down_payment&gt;0),IRR(($AI$4:AI4,AK5),),"N/A")</f>
        <v>-1.4770062500001789E-2</v>
      </c>
      <c r="BB5" s="303">
        <f ca="1">IF(AND(leveraged_property,down_payment&gt;0),IRR(($AL$4:AL4,AN5),),"N/A")</f>
        <v>-1.4946773809525736E-2</v>
      </c>
      <c r="BC5" s="288">
        <f ca="1">IF(AND(leveraged_property,down_payment&gt;0),IRR(($AO$4:AO4,AQ5),),"N/A")</f>
        <v>-1.5123485119049608E-2</v>
      </c>
      <c r="BD5" s="288">
        <f ca="1">IF(AND(leveraged_property,down_payment&gt;0),IRR(($AR$4:AR4,AT5),),"N/A")</f>
        <v>-1.5300196428573632E-2</v>
      </c>
      <c r="BE5" s="288">
        <f ca="1">IF(AND(leveraged_property,down_payment&gt;0),IRR(($AU$4:AU4,AW5),),"N/A")</f>
        <v>-1.5476907738097841E-2</v>
      </c>
      <c r="BF5" s="103"/>
      <c r="BG5" s="290">
        <f ca="1">IF(AND(leveraged_property,down_payment&gt;0),((1+AY5)^12)-1,"N/A")</f>
        <v>-0.15992057000549798</v>
      </c>
      <c r="BH5" s="290">
        <f ca="1">IF(AND(leveraged_property,down_payment&gt;0),((1+AZ5)^12)-1,"N/A")</f>
        <v>-0.16172626483304375</v>
      </c>
      <c r="BI5" s="290">
        <f ca="1">IF(AND(leveraged_property,down_payment&gt;0),((1+BA5)^12)-1,"N/A")</f>
        <v>-0.16352840123728807</v>
      </c>
      <c r="BJ5" s="305">
        <f ca="1">IF(AND(leveraged_property,down_payment&gt;0),((1+BB5)^12)-1,"N/A")</f>
        <v>-0.16532698559434866</v>
      </c>
      <c r="BK5" s="290">
        <f ca="1">IF(AND(leveraged_property,down_payment&gt;0),((1+BC5)^12)-1,"N/A")</f>
        <v>-0.16712202427005285</v>
      </c>
      <c r="BL5" s="290">
        <f ca="1">IF(AND(leveraged_property,down_payment&gt;0),((1+BD5)^12)-1,"N/A")</f>
        <v>-0.16891352361996104</v>
      </c>
      <c r="BM5" s="290">
        <f ca="1">IF(AND(leveraged_property,down_payment&gt;0),((1+BE5)^12)-1,"N/A")</f>
        <v>-0.17070148998937973</v>
      </c>
    </row>
    <row r="6" spans="1:65">
      <c r="A6" s="137">
        <f>Model_Mthly!A6</f>
        <v>40224</v>
      </c>
      <c r="B6" s="138">
        <f>Model_Mthly!B6</f>
        <v>2</v>
      </c>
      <c r="C6" s="223"/>
      <c r="D6" s="139">
        <f>Model_Mthly!AQ6</f>
        <v>46892.444872034765</v>
      </c>
      <c r="E6" s="231">
        <f>IF(OR($H$3&lt;=0.0075,$H$3=""),0,SUM(Model_Mthly!AQ6,(SUM(Model_Mthly!Q7:Q18)/$E$3)*(1-cost_of_sale),-Model_Mthly!V6))</f>
        <v>13061131.21854778</v>
      </c>
      <c r="F6" s="231">
        <f>IF(OR($H$3&lt;=0.0075,$H$3=""),0,SUM(Model_Mthly!AQ6,(SUM(Model_Mthly!Q7:Q18)/$F$3)*(1-cost_of_sale),-Model_Mthly!V6))</f>
        <v>12311351.400616746</v>
      </c>
      <c r="G6" s="231">
        <f>IF(OR($H$3&lt;=0.0075,$H$3=""),0,SUM(Model_Mthly!AQ6,(SUM(Model_Mthly!Q7:Q18)/$G$3)*(1-cost_of_sale),-Model_Mthly!V6))</f>
        <v>11609944.47416513</v>
      </c>
      <c r="H6" s="232">
        <f>IF(OR($H$3&lt;=0.0075,$H$3=""),0,SUM(Model_Mthly!AQ6,(SUM(Model_Mthly!Q7:Q18)/$H$3)*(1-cost_of_sale),-Model_Mthly!V6))</f>
        <v>10952375.480616748</v>
      </c>
      <c r="I6" s="231">
        <f>IF(OR($H$3&lt;=0.0075,$H$3=""),0,SUM(Model_Mthly!AQ6,(SUM(Model_Mthly!Q7:Q18)/$I$3)*(1-cost_of_sale),-Model_Mthly!V6))</f>
        <v>10334659.153344017</v>
      </c>
      <c r="J6" s="231">
        <f>IF(OR($H$3&lt;=0.0075,$H$3=""),0,SUM(Model_Mthly!AQ6,(SUM(Model_Mthly!Q7:Q18)/$J$3)*(1-cost_of_sale),-Model_Mthly!V6))</f>
        <v>9753279.0806167424</v>
      </c>
      <c r="K6" s="231">
        <f>IF(OR($H$3&lt;=0.0075,$H$3=""),0,SUM(Model_Mthly!AQ6,(SUM(Model_Mthly!Q7:Q18)/$K$3)*(1-cost_of_sale),-Model_Mthly!V6))</f>
        <v>9205120.7263310328</v>
      </c>
      <c r="L6" s="160"/>
      <c r="M6" s="302">
        <f>IF(OR($H$3&lt;=0.0075,$H$3="",down_payment&lt;=0),"N/A",IRR(($D$4:D5,E6),))</f>
        <v>8.4181598158653517E-2</v>
      </c>
      <c r="N6" s="288">
        <f>IF(OR($H$3&lt;=0.0075,$H$3="",down_payment&lt;=0),"N/A",IRR(($D$4:D5,F6),))</f>
        <v>5.2727867308217172E-2</v>
      </c>
      <c r="O6" s="288">
        <f>IF(OR($H$3&lt;=0.0075,$H$3="",down_payment&lt;=0),"N/A",IRR(($D$4:D5,G6),))</f>
        <v>2.2424097808433009E-2</v>
      </c>
      <c r="P6" s="303">
        <f>IF(OR($H$3&lt;=0.0075,$H$3="",down_payment&lt;=0),"N/A",IRR(($D$4:D5,H6),))</f>
        <v>-6.8287141110901142E-3</v>
      </c>
      <c r="Q6" s="288">
        <f>IF(OR($H$3&lt;=0.0075,$H$3="",down_payment&lt;=0),"N/A",IRR(($D$4:D5,I6),))</f>
        <v>-3.5119761830802239E-2</v>
      </c>
      <c r="R6" s="288">
        <f>IF(OR($H$3&lt;=0.0075,$H$3="",down_payment&lt;=0),"N/A",IRR(($D$4:D5,J6),))</f>
        <v>-6.2529791304588397E-2</v>
      </c>
      <c r="S6" s="288">
        <f>IF(OR($H$3&lt;=0.0075,$H$3="",down_payment&lt;=0),"N/A",IRR(($D$4:D5,K6),))</f>
        <v>-8.9132256837867574E-2</v>
      </c>
      <c r="T6" s="233"/>
      <c r="U6" s="304">
        <f t="shared" si="4"/>
        <v>1.6376938126139988</v>
      </c>
      <c r="V6" s="304">
        <f t="shared" si="5"/>
        <v>0.85265022823251435</v>
      </c>
      <c r="W6" s="304">
        <f t="shared" si="6"/>
        <v>0.30488705676306194</v>
      </c>
      <c r="X6" s="305">
        <f t="shared" si="7"/>
        <v>-7.8935891483080445E-2</v>
      </c>
      <c r="Y6" s="304">
        <f t="shared" si="8"/>
        <v>-0.34885015748704906</v>
      </c>
      <c r="Z6" s="304">
        <f t="shared" si="9"/>
        <v>-0.53922415395369394</v>
      </c>
      <c r="AA6" s="304">
        <f t="shared" si="10"/>
        <v>-0.67381508644208266</v>
      </c>
      <c r="AB6" s="103"/>
      <c r="AC6" s="149">
        <f>SUM(Model_Mthly!$Q6,-IF(AND(leveraged_property,B6&lt;=amort_period),-PMT(AC$3/12,amort_period,loan_amount),0))</f>
        <v>51275.903032203867</v>
      </c>
      <c r="AD6" s="149">
        <f>AD5+IF(AND(leveraged_property,$B6&lt;=amort_period),PPMT(AD$3/12,$B6,amort_period,loan_amount),0)</f>
        <v>9476048.0280902982</v>
      </c>
      <c r="AE6" s="149">
        <f ca="1">SUM(AC6,Model_Mthly!$AA6,-AD6)</f>
        <v>10959866.674941905</v>
      </c>
      <c r="AF6" s="149">
        <f>SUM(Model_Mthly!$Q6,-IF(AND(leveraged_property,B6&lt;=amort_period),-PMT(AF$3/12,amort_period,loan_amount),0))</f>
        <v>49834.34581384687</v>
      </c>
      <c r="AG6" s="149">
        <f>AG5+IF(AND(leveraged_property,$B6&lt;=amort_period),PPMT(AG$3/12,$B6,amort_period,loan_amount),0)</f>
        <v>9477122.9969574735</v>
      </c>
      <c r="AH6" s="149">
        <f ca="1">SUM(AF6,Model_Mthly!$AA6,-AG6)</f>
        <v>10957350.148856375</v>
      </c>
      <c r="AI6" s="149">
        <f>SUM(Model_Mthly!$Q6,-IF(AND(leveraged_property,B6&lt;=amort_period),-PMT(AI$3/12,amort_period,loan_amount),0))</f>
        <v>48373.048296520159</v>
      </c>
      <c r="AJ6" s="149">
        <f>AJ5+IF(AND(leveraged_property,$B6&lt;=amort_period),PPMT(AJ$3/12,$B6,amort_period,loan_amount),0)</f>
        <v>9478158.6228668373</v>
      </c>
      <c r="AK6" s="149">
        <f ca="1">SUM(AI6,Model_Mthly!$AA6,-AJ6)</f>
        <v>10954853.225429682</v>
      </c>
      <c r="AL6" s="229">
        <f>SUM(Model_Mthly!$Q6,-IF(AND(leveraged_property,B6&lt;=amort_period),-PMT(AL$3/12,amort_period,loan_amount),0))</f>
        <v>46892.444872034765</v>
      </c>
      <c r="AM6" s="229">
        <f>AM5+IF(AND(leveraged_property,$B6&lt;=amort_period),PPMT(AM$3/12,$B6,amort_period,loan_amount),0)</f>
        <v>9479155.764255289</v>
      </c>
      <c r="AN6" s="229">
        <f ca="1">SUM(AL6,Model_Mthly!$AA6,-AM6)</f>
        <v>10952375.480616748</v>
      </c>
      <c r="AO6" s="149">
        <f>SUM(Model_Mthly!$Q6,-IF(AND(leveraged_property,B6&lt;=amort_period),-PMT(AO$3/12,amort_period,loan_amount),0))</f>
        <v>45392.978637862572</v>
      </c>
      <c r="AP6" s="162">
        <f>AP5+IF(AND(leveraged_property,$B6&lt;=amort_period),PPMT(AP$3/12,$B6,amort_period,loan_amount),0)</f>
        <v>9480115.2973747551</v>
      </c>
      <c r="AQ6" s="149">
        <f ca="1">SUM(AO6,Model_Mthly!$AA6,-AP6)</f>
        <v>10949916.481263109</v>
      </c>
      <c r="AR6" s="149">
        <f>SUM(Model_Mthly!$Q6,-IF(AND(leveraged_property,B6&lt;=amort_period),-PMT(AR$3/12,amort_period,loan_amount),0))</f>
        <v>43875.100110487896</v>
      </c>
      <c r="AS6" s="162">
        <f>AS5+IF(AND(leveraged_property,$B6&lt;=amort_period),PPMT(AS$3/12,$B6,amort_period,loan_amount),0)</f>
        <v>9481038.1137215272</v>
      </c>
      <c r="AT6" s="149">
        <f ca="1">SUM(AR6,Model_Mthly!$AA6,-AS6)</f>
        <v>10947475.78638896</v>
      </c>
      <c r="AU6" s="149">
        <f>SUM(Model_Mthly!$Q6,-IF(AND(leveraged_property,B6&lt;=amort_period),-PMT(AU$3/12,amort_period,loan_amount),0))</f>
        <v>42339.265959492608</v>
      </c>
      <c r="AV6" s="162">
        <f>AV5+IF(AND(leveraged_property,$B6&lt;=amort_period),PPMT(AV$3/12,$B6,amort_period,loan_amount),0)</f>
        <v>9481925.1175055802</v>
      </c>
      <c r="AW6" s="149">
        <f ca="1">SUM(AU6,Model_Mthly!$AA6,-AV6)</f>
        <v>10945052.948453914</v>
      </c>
      <c r="AX6" s="103"/>
      <c r="AY6" s="288">
        <f ca="1">IF(AND(leveraged_property,down_payment&gt;0),IRR(($AC$4:AC5,AE6),),"N/A")</f>
        <v>-6.2940314931047205E-3</v>
      </c>
      <c r="AZ6" s="288">
        <f ca="1">IF(AND(leveraged_property,down_payment&gt;0),IRR(($AF$4:AF5,AH6),),"N/A")</f>
        <v>-6.4722500929206622E-3</v>
      </c>
      <c r="BA6" s="288">
        <f ca="1">IF(AND(leveraged_property,down_payment&gt;0),IRR(($AI$4:AI5,AK6),),"N/A")</f>
        <v>-6.6504779010876309E-3</v>
      </c>
      <c r="BB6" s="303">
        <f ca="1">IF(AND(leveraged_property,down_payment&gt;0),IRR(($AL$4:AL5,AN6),),"N/A")</f>
        <v>-6.8287141110901142E-3</v>
      </c>
      <c r="BC6" s="288">
        <f ca="1">IF(AND(leveraged_property,down_payment&gt;0),IRR(($AO$4:AO5,AQ6),),"N/A")</f>
        <v>-7.0069579509658394E-3</v>
      </c>
      <c r="BD6" s="288">
        <f ca="1">IF(AND(leveraged_property,down_payment&gt;0),IRR(($AR$4:AR5,AT6),),"N/A")</f>
        <v>-7.1852086833845107E-3</v>
      </c>
      <c r="BE6" s="288">
        <f ca="1">IF(AND(leveraged_property,down_payment&gt;0),IRR(($AU$4:AU5,AW6),),"N/A")</f>
        <v>-7.3634656056035556E-3</v>
      </c>
      <c r="BF6" s="103"/>
      <c r="BG6" s="290">
        <f ca="1">IF(AND(leveraged_property,down_payment&gt;0),((1+AY6)^12)-1,"N/A")</f>
        <v>-7.2967884062116295E-2</v>
      </c>
      <c r="BH6" s="290">
        <f ca="1">IF(AND(leveraged_property,down_payment&gt;0),((1+AZ6)^12)-1,"N/A")</f>
        <v>-7.496104701861539E-2</v>
      </c>
      <c r="BI6" s="290">
        <f ca="1">IF(AND(leveraged_property,down_payment&gt;0),((1+BA6)^12)-1,"N/A")</f>
        <v>-7.6950383672546696E-2</v>
      </c>
      <c r="BJ6" s="305">
        <f ca="1">IF(AND(leveraged_property,down_payment&gt;0),((1+BB6)^12)-1,"N/A")</f>
        <v>-7.8935891483080445E-2</v>
      </c>
      <c r="BK6" s="290">
        <f ca="1">IF(AND(leveraged_property,down_payment&gt;0),((1+BC6)^12)-1,"N/A")</f>
        <v>-8.0917568354765934E-2</v>
      </c>
      <c r="BL6" s="290">
        <f ca="1">IF(AND(leveraged_property,down_payment&gt;0),((1+BD6)^12)-1,"N/A")</f>
        <v>-8.2895412634312104E-2</v>
      </c>
      <c r="BM6" s="290">
        <f ca="1">IF(AND(leveraged_property,down_payment&gt;0),((1+BE6)^12)-1,"N/A")</f>
        <v>-8.4869423106032182E-2</v>
      </c>
    </row>
    <row r="7" spans="1:65">
      <c r="A7" s="137">
        <f>Model_Mthly!A7</f>
        <v>40252</v>
      </c>
      <c r="B7" s="138">
        <f>Model_Mthly!B7</f>
        <v>3</v>
      </c>
      <c r="C7" s="223"/>
      <c r="D7" s="139">
        <f>Model_Mthly!AQ7</f>
        <v>95838.044872034778</v>
      </c>
      <c r="E7" s="231">
        <f>IF(OR($H$3&lt;=0.0075,$H$3=""),0,SUM(Model_Mthly!AQ7,(SUM(Model_Mthly!Q8:Q19)/$E$3)*(1-cost_of_sale),-Model_Mthly!V7))</f>
        <v>13096315.746537853</v>
      </c>
      <c r="F7" s="231">
        <f>IF(OR($H$3&lt;=0.0075,$H$3=""),0,SUM(Model_Mthly!AQ7,(SUM(Model_Mthly!Q8:Q19)/$F$3)*(1-cost_of_sale),-Model_Mthly!V7))</f>
        <v>12347344.425158538</v>
      </c>
      <c r="G7" s="231">
        <f>IF(OR($H$3&lt;=0.0075,$H$3=""),0,SUM(Model_Mthly!AQ7,(SUM(Model_Mthly!Q8:Q19)/$G$3)*(1-cost_of_sale),-Model_Mthly!V7))</f>
        <v>11646693.834190797</v>
      </c>
      <c r="H7" s="232">
        <f>IF(OR($H$3&lt;=0.0075,$H$3=""),0,SUM(Model_Mthly!AQ7,(SUM(Model_Mthly!Q8:Q19)/$H$3)*(1-cost_of_sale),-Model_Mthly!V7))</f>
        <v>10989833.905158542</v>
      </c>
      <c r="I7" s="231">
        <f>IF(OR($H$3&lt;=0.0075,$H$3=""),0,SUM(Model_Mthly!AQ7,(SUM(Model_Mthly!Q8:Q19)/$I$3)*(1-cost_of_sale),-Model_Mthly!V7))</f>
        <v>10372783.668794904</v>
      </c>
      <c r="J7" s="231">
        <f>IF(OR($H$3&lt;=0.0075,$H$3=""),0,SUM(Model_Mthly!AQ7,(SUM(Model_Mthly!Q8:Q19)/$J$3)*(1-cost_of_sale),-Model_Mthly!V7))</f>
        <v>9792030.5051585361</v>
      </c>
      <c r="K7" s="231">
        <f>IF(OR($H$3&lt;=0.0075,$H$3=""),0,SUM(Model_Mthly!AQ7,(SUM(Model_Mthly!Q8:Q19)/$K$3)*(1-cost_of_sale),-Model_Mthly!V7))</f>
        <v>9244463.2365871072</v>
      </c>
      <c r="L7" s="160"/>
      <c r="M7" s="302">
        <f>IF(OR($H$3&lt;=0.0075,$H$3="",down_payment&lt;=0),"N/A",IRR(($D$4:D6,E7),))</f>
        <v>5.7710579766090217E-2</v>
      </c>
      <c r="N7" s="288">
        <f>IF(OR($H$3&lt;=0.0075,$H$3="",down_payment&lt;=0),"N/A",IRR(($D$4:D6,F7),))</f>
        <v>3.7258176798302907E-2</v>
      </c>
      <c r="O7" s="288">
        <f>IF(OR($H$3&lt;=0.0075,$H$3="",down_payment&lt;=0),"N/A",IRR(($D$4:D6,G7),))</f>
        <v>1.7363305114549483E-2</v>
      </c>
      <c r="P7" s="303">
        <f>IF(OR($H$3&lt;=0.0075,$H$3="",down_payment&lt;=0),"N/A",IRR(($D$4:D6,H7),))</f>
        <v>-2.0254815941953253E-3</v>
      </c>
      <c r="Q7" s="288">
        <f>IF(OR($H$3&lt;=0.0075,$H$3="",down_payment&lt;=0),"N/A",IRR(($D$4:D6,I7),))</f>
        <v>-2.0955189780631201E-2</v>
      </c>
      <c r="R7" s="288">
        <f>IF(OR($H$3&lt;=0.0075,$H$3="",down_payment&lt;=0),"N/A",IRR(($D$4:D6,J7),))</f>
        <v>-3.9469028764867443E-2</v>
      </c>
      <c r="S7" s="288">
        <f>IF(OR($H$3&lt;=0.0075,$H$3="",down_payment&lt;=0),"N/A",IRR(($D$4:D6,K7),))</f>
        <v>-5.7606964381787085E-2</v>
      </c>
      <c r="T7" s="233"/>
      <c r="U7" s="304">
        <f t="shared" si="4"/>
        <v>0.96065951326729904</v>
      </c>
      <c r="V7" s="304">
        <f t="shared" si="5"/>
        <v>0.55110931214959069</v>
      </c>
      <c r="W7" s="304">
        <f t="shared" si="6"/>
        <v>0.22945554531569901</v>
      </c>
      <c r="X7" s="305">
        <f t="shared" si="7"/>
        <v>-2.4036828962577195E-2</v>
      </c>
      <c r="Y7" s="304">
        <f t="shared" si="8"/>
        <v>-0.22441243846548831</v>
      </c>
      <c r="Z7" s="304">
        <f t="shared" si="9"/>
        <v>-0.38321120831318223</v>
      </c>
      <c r="AA7" s="304">
        <f t="shared" si="10"/>
        <v>-0.50933529872763383</v>
      </c>
      <c r="AB7" s="103"/>
      <c r="AC7" s="149">
        <f>SUM(Model_Mthly!$Q7,-IF(AND(leveraged_property,B7&lt;=amort_period),-PMT(AC$3/12,amort_period,loan_amount),0))</f>
        <v>100221.50303220388</v>
      </c>
      <c r="AD7" s="149">
        <f>AD6+IF(AND(leveraged_property,$B7&lt;=amort_period),PPMT(AD$3/12,$B7,amort_period,loan_amount),0)</f>
        <v>9464000.8879003599</v>
      </c>
      <c r="AE7" s="149">
        <f ca="1">SUM(AC7,Model_Mthly!$AA7,-AD7)</f>
        <v>10998878.415131845</v>
      </c>
      <c r="AF7" s="149">
        <f>SUM(Model_Mthly!$Q7,-IF(AND(leveraged_property,B7&lt;=amort_period),-PMT(AF$3/12,amort_period,loan_amount),0))</f>
        <v>98779.945813846876</v>
      </c>
      <c r="AG7" s="149">
        <f>AG6+IF(AND(leveraged_property,$B7&lt;=amort_period),PPMT(AG$3/12,$B7,amort_period,loan_amount),0)</f>
        <v>9465612.9552586433</v>
      </c>
      <c r="AH7" s="149">
        <f ca="1">SUM(AF7,Model_Mthly!$AA7,-AG7)</f>
        <v>10995824.790555203</v>
      </c>
      <c r="AI7" s="149">
        <f>SUM(Model_Mthly!$Q7,-IF(AND(leveraged_property,B7&lt;=amort_period),-PMT(AI$3/12,amort_period,loan_amount),0))</f>
        <v>97318.648296520172</v>
      </c>
      <c r="AJ7" s="149">
        <f>AJ6+IF(AND(leveraged_property,$B7&lt;=amort_period),PPMT(AJ$3/12,$B7,amort_period,loan_amount),0)</f>
        <v>9467166.2151384</v>
      </c>
      <c r="AK7" s="149">
        <f ca="1">SUM(AI7,Model_Mthly!$AA7,-AJ7)</f>
        <v>10992810.233158121</v>
      </c>
      <c r="AL7" s="229">
        <f>SUM(Model_Mthly!$Q7,-IF(AND(leveraged_property,B7&lt;=amort_period),-PMT(AL$3/12,amort_period,loan_amount),0))</f>
        <v>95838.044872034778</v>
      </c>
      <c r="AM7" s="229">
        <f>AM6+IF(AND(leveraged_property,$B7&lt;=amort_period),PPMT(AM$3/12,$B7,amort_period,loan_amount),0)</f>
        <v>9468661.939713493</v>
      </c>
      <c r="AN7" s="229">
        <f ca="1">SUM(AL7,Model_Mthly!$AA7,-AM7)</f>
        <v>10989833.905158542</v>
      </c>
      <c r="AO7" s="149">
        <f>SUM(Model_Mthly!$Q7,-IF(AND(leveraged_property,B7&lt;=amort_period),-PMT(AO$3/12,amort_period,loan_amount),0))</f>
        <v>94338.578637862578</v>
      </c>
      <c r="AP7" s="162">
        <f>AP6+IF(AND(leveraged_property,$B7&lt;=amort_period),PPMT(AP$3/12,$B7,amort_period,loan_amount),0)</f>
        <v>9470101.4284792058</v>
      </c>
      <c r="AQ7" s="149">
        <f ca="1">SUM(AO7,Model_Mthly!$AA7,-AP7)</f>
        <v>10986894.950158659</v>
      </c>
      <c r="AR7" s="149">
        <f>SUM(Model_Mthly!$Q7,-IF(AND(leveraged_property,B7&lt;=amort_period),-PMT(AR$3/12,amort_period,loan_amount),0))</f>
        <v>92820.700110487902</v>
      </c>
      <c r="AS7" s="162">
        <f>AS6+IF(AND(leveraged_property,$B7&lt;=amort_period),PPMT(AS$3/12,$B7,amort_period,loan_amount),0)</f>
        <v>9471486.0044006221</v>
      </c>
      <c r="AT7" s="149">
        <f ca="1">SUM(AR7,Model_Mthly!$AA7,-AS7)</f>
        <v>10983992.495709866</v>
      </c>
      <c r="AU7" s="149">
        <f>SUM(Model_Mthly!$Q7,-IF(AND(leveraged_property,B7&lt;=amort_period),-PMT(AU$3/12,amort_period,loan_amount),0))</f>
        <v>91284.865959492614</v>
      </c>
      <c r="AV7" s="162">
        <f>AV6+IF(AND(leveraged_property,$B7&lt;=amort_period),PPMT(AV$3/12,$B7,amort_period,loan_amount),0)</f>
        <v>9472817.0101187471</v>
      </c>
      <c r="AW7" s="149">
        <f ca="1">SUM(AU7,Model_Mthly!$AA7,-AV7)</f>
        <v>10981125.655840745</v>
      </c>
      <c r="AX7" s="103"/>
      <c r="AY7" s="288">
        <f ca="1">IF(AND(leveraged_property,down_payment&gt;0),IRR(($AC$4:AC6,AE7),),"N/A")</f>
        <v>-1.4902880064574602E-3</v>
      </c>
      <c r="AZ7" s="288">
        <f ca="1">IF(AND(leveraged_property,down_payment&gt;0),IRR(($AF$4:AF6,AH7),),"N/A")</f>
        <v>-1.6686596486838181E-3</v>
      </c>
      <c r="BA7" s="288">
        <f ca="1">IF(AND(leveraged_property,down_payment&gt;0),IRR(($AI$4:AI6,AK7),),"N/A")</f>
        <v>-1.8470581083504581E-3</v>
      </c>
      <c r="BB7" s="303">
        <f ca="1">IF(AND(leveraged_property,down_payment&gt;0),IRR(($AL$4:AL6,AN7),),"N/A")</f>
        <v>-2.0254815941953253E-3</v>
      </c>
      <c r="BC7" s="288">
        <f ca="1">IF(AND(leveraged_property,down_payment&gt;0),IRR(($AO$4:AO6,AQ7),),"N/A")</f>
        <v>-2.2039283792440923E-3</v>
      </c>
      <c r="BD7" s="288">
        <f ca="1">IF(AND(leveraged_property,down_payment&gt;0),IRR(($AR$4:AR6,AT7),),"N/A")</f>
        <v>-2.3823968015888818E-3</v>
      </c>
      <c r="BE7" s="288">
        <f ca="1">IF(AND(leveraged_property,down_payment&gt;0),IRR(($AU$4:AU6,AW7),),"N/A")</f>
        <v>-2.5608852649096079E-3</v>
      </c>
      <c r="BF7" s="103"/>
      <c r="BG7" s="290">
        <f ca="1">IF(AND(leveraged_property,down_payment&gt;0),((1+AY7)^12)-1,"N/A")</f>
        <v>-1.7737598561919365E-2</v>
      </c>
      <c r="BH7" s="290">
        <f ca="1">IF(AND(leveraged_property,down_payment&gt;0),((1+AZ7)^12)-1,"N/A")</f>
        <v>-1.9841162081847941E-2</v>
      </c>
      <c r="BI7" s="290">
        <f ca="1">IF(AND(leveraged_property,down_payment&gt;0),((1+BA7)^12)-1,"N/A")</f>
        <v>-2.1940910717302753E-2</v>
      </c>
      <c r="BJ7" s="305">
        <f ca="1">IF(AND(leveraged_property,down_payment&gt;0),((1+BB7)^12)-1,"N/A")</f>
        <v>-2.4036828962577195E-2</v>
      </c>
      <c r="BK7" s="290">
        <f ca="1">IF(AND(leveraged_property,down_payment&gt;0),((1+BC7)^12)-1,"N/A")</f>
        <v>-2.6128902224669681E-2</v>
      </c>
      <c r="BL7" s="290">
        <f ca="1">IF(AND(leveraged_property,down_payment&gt;0),((1+BD7)^12)-1,"N/A")</f>
        <v>-2.8217116824306498E-2</v>
      </c>
      <c r="BM7" s="290">
        <f ca="1">IF(AND(leveraged_property,down_payment&gt;0),((1+BE7)^12)-1,"N/A")</f>
        <v>-3.0301459993882229E-2</v>
      </c>
    </row>
    <row r="8" spans="1:65">
      <c r="A8" s="137">
        <f>Model_Mthly!A8</f>
        <v>40283</v>
      </c>
      <c r="B8" s="138">
        <f>Model_Mthly!B8</f>
        <v>4</v>
      </c>
      <c r="C8" s="223"/>
      <c r="D8" s="139">
        <f>Model_Mthly!AQ8</f>
        <v>94020.044872034778</v>
      </c>
      <c r="E8" s="231">
        <f>IF(OR($H$3&lt;=0.0075,$H$3=""),0,SUM(Model_Mthly!AQ8,(SUM(Model_Mthly!Q9:Q20)/$E$3)*(1-cost_of_sale),-Model_Mthly!V8))</f>
        <v>13104663.943637533</v>
      </c>
      <c r="F8" s="231">
        <f>IF(OR($H$3&lt;=0.0075,$H$3=""),0,SUM(Model_Mthly!AQ8,(SUM(Model_Mthly!Q9:Q20)/$F$3)*(1-cost_of_sale),-Model_Mthly!V8))</f>
        <v>12355705.146396155</v>
      </c>
      <c r="G8" s="231">
        <f>IF(OR($H$3&lt;=0.0075,$H$3=""),0,SUM(Model_Mthly!AQ8,(SUM(Model_Mthly!Q9:Q20)/$G$3)*(1-cost_of_sale),-Model_Mthly!V8))</f>
        <v>11655066.271557441</v>
      </c>
      <c r="H8" s="232">
        <f>IF(OR($H$3&lt;=0.0075,$H$3=""),0,SUM(Model_Mthly!AQ8,(SUM(Model_Mthly!Q9:Q20)/$H$3)*(1-cost_of_sale),-Model_Mthly!V8))</f>
        <v>10998217.326396154</v>
      </c>
      <c r="I8" s="231">
        <f>IF(OR($H$3&lt;=0.0075,$H$3=""),0,SUM(Model_Mthly!AQ8,(SUM(Model_Mthly!Q9:Q20)/$I$3)*(1-cost_of_sale),-Model_Mthly!V8))</f>
        <v>10381177.408214333</v>
      </c>
      <c r="J8" s="231">
        <f>IF(OR($H$3&lt;=0.0075,$H$3=""),0,SUM(Model_Mthly!AQ8,(SUM(Model_Mthly!Q9:Q20)/$J$3)*(1-cost_of_sale),-Model_Mthly!V8))</f>
        <v>9800433.955807915</v>
      </c>
      <c r="K8" s="231">
        <f>IF(OR($H$3&lt;=0.0075,$H$3=""),0,SUM(Model_Mthly!AQ8,(SUM(Model_Mthly!Q9:Q20)/$K$3)*(1-cost_of_sale),-Model_Mthly!V8))</f>
        <v>9252875.8435390089</v>
      </c>
      <c r="L8" s="160"/>
      <c r="M8" s="302">
        <f>IF(OR($H$3&lt;=0.0075,$H$3="",down_payment&lt;=0),"N/A",IRR(($D$4:D7,E8),))</f>
        <v>4.5181340811878606E-2</v>
      </c>
      <c r="N8" s="288">
        <f>IF(OR($H$3&lt;=0.0075,$H$3="",down_payment&lt;=0),"N/A",IRR(($D$4:D7,F8),))</f>
        <v>3.0065880798049126E-2</v>
      </c>
      <c r="O8" s="288">
        <f>IF(OR($H$3&lt;=0.0075,$H$3="",down_payment&lt;=0),"N/A",IRR(($D$4:D7,G8),))</f>
        <v>1.5293140337322183E-2</v>
      </c>
      <c r="P8" s="303">
        <f>IF(OR($H$3&lt;=0.0075,$H$3="",down_payment&lt;=0),"N/A",IRR(($D$4:D7,H8),))</f>
        <v>8.289151409999326E-4</v>
      </c>
      <c r="Q8" s="288">
        <f>IF(OR($H$3&lt;=0.0075,$H$3="",down_payment&lt;=0),"N/A",IRR(($D$4:D7,I8),))</f>
        <v>-1.3358335902795062E-2</v>
      </c>
      <c r="R8" s="288">
        <f>IF(OR($H$3&lt;=0.0075,$H$3="",down_payment&lt;=0),"N/A",IRR(($D$4:D7,J8),))</f>
        <v>-2.7297897075264338E-2</v>
      </c>
      <c r="S8" s="288">
        <f>IF(OR($H$3&lt;=0.0075,$H$3="",down_payment&lt;=0),"N/A",IRR(($D$4:D7,K8),))</f>
        <v>-4.1017149945519207E-2</v>
      </c>
      <c r="T8" s="233"/>
      <c r="U8" s="304">
        <f t="shared" si="4"/>
        <v>0.69941627911279824</v>
      </c>
      <c r="V8" s="304">
        <f t="shared" si="5"/>
        <v>0.42685560508955511</v>
      </c>
      <c r="W8" s="304">
        <f t="shared" si="6"/>
        <v>0.19976841195270056</v>
      </c>
      <c r="X8" s="305">
        <f t="shared" si="7"/>
        <v>9.9924558470532165E-3</v>
      </c>
      <c r="Y8" s="304">
        <f t="shared" si="8"/>
        <v>-0.14903164191843454</v>
      </c>
      <c r="Z8" s="304">
        <f t="shared" si="9"/>
        <v>-0.28260514522794367</v>
      </c>
      <c r="AA8" s="304">
        <f t="shared" si="10"/>
        <v>-0.39503522692067439</v>
      </c>
      <c r="AB8" s="103"/>
      <c r="AC8" s="149">
        <f>SUM(Model_Mthly!$Q8,-IF(AND(leveraged_property,B8&lt;=amort_period),-PMT(AC$3/12,amort_period,loan_amount),0))</f>
        <v>98403.50303220388</v>
      </c>
      <c r="AD8" s="149">
        <f>AD7+IF(AND(leveraged_property,$B8&lt;=amort_period),PPMT(AD$3/12,$B8,amort_period,loan_amount),0)</f>
        <v>9451906.0611138362</v>
      </c>
      <c r="AE8" s="149">
        <f ca="1">SUM(AC8,Model_Mthly!$AA8,-AD8)</f>
        <v>11008814.741918368</v>
      </c>
      <c r="AF8" s="149">
        <f>SUM(Model_Mthly!$Q8,-IF(AND(leveraged_property,B8&lt;=amort_period),-PMT(AF$3/12,amort_period,loan_amount),0))</f>
        <v>96961.945813846876</v>
      </c>
      <c r="AG8" s="149">
        <f>AG7+IF(AND(leveraged_property,$B8&lt;=amort_period),PPMT(AG$3/12,$B8,amort_period,loan_amount),0)</f>
        <v>9454054.9550527353</v>
      </c>
      <c r="AH8" s="149">
        <f ca="1">SUM(AF8,Model_Mthly!$AA8,-AG8)</f>
        <v>11005224.290761111</v>
      </c>
      <c r="AI8" s="149">
        <f>SUM(Model_Mthly!$Q8,-IF(AND(leveraged_property,B8&lt;=amort_period),-PMT(AI$3/12,amort_period,loan_amount),0))</f>
        <v>95500.648296520172</v>
      </c>
      <c r="AJ8" s="149">
        <f>AJ7+IF(AND(leveraged_property,$B8&lt;=amort_period),PPMT(AJ$3/12,$B8,amort_period,loan_amount),0)</f>
        <v>9456125.7156261504</v>
      </c>
      <c r="AK8" s="149">
        <f ca="1">SUM(AI8,Model_Mthly!$AA8,-AJ8)</f>
        <v>11001692.23267037</v>
      </c>
      <c r="AL8" s="229">
        <f>SUM(Model_Mthly!$Q8,-IF(AND(leveraged_property,B8&lt;=amort_period),-PMT(AL$3/12,amort_period,loan_amount),0))</f>
        <v>94020.044872034778</v>
      </c>
      <c r="AM8" s="229">
        <f>AM7+IF(AND(leveraged_property,$B8&lt;=amort_period),PPMT(AM$3/12,$B8,amort_period,loan_amount),0)</f>
        <v>9458120.0184758808</v>
      </c>
      <c r="AN8" s="229">
        <f ca="1">SUM(AL8,Model_Mthly!$AA8,-AM8)</f>
        <v>10998217.326396154</v>
      </c>
      <c r="AO8" s="149">
        <f>SUM(Model_Mthly!$Q8,-IF(AND(leveraged_property,B8&lt;=amort_period),-PMT(AO$3/12,amort_period,loan_amount),0))</f>
        <v>92520.578637862578</v>
      </c>
      <c r="AP8" s="162">
        <f>AP7+IF(AND(leveraged_property,$B8&lt;=amort_period),PPMT(AP$3/12,$B8,amort_period,loan_amount),0)</f>
        <v>9460039.5764618646</v>
      </c>
      <c r="AQ8" s="149">
        <f ca="1">SUM(AO8,Model_Mthly!$AA8,-AP8)</f>
        <v>10994798.302176001</v>
      </c>
      <c r="AR8" s="149">
        <f>SUM(Model_Mthly!$Q8,-IF(AND(leveraged_property,B8&lt;=amort_period),-PMT(AR$3/12,amort_period,loan_amount),0))</f>
        <v>91002.700110487902</v>
      </c>
      <c r="AS8" s="162">
        <f>AS7+IF(AND(leveraged_property,$B8&lt;=amort_period),PPMT(AS$3/12,$B8,amort_period,loan_amount),0)</f>
        <v>9461886.1345331129</v>
      </c>
      <c r="AT8" s="149">
        <f ca="1">SUM(AR8,Model_Mthly!$AA8,-AS8)</f>
        <v>10991433.865577376</v>
      </c>
      <c r="AU8" s="149">
        <f>SUM(Model_Mthly!$Q8,-IF(AND(leveraged_property,B8&lt;=amort_period),-PMT(AU$3/12,amort_period,loan_amount),0))</f>
        <v>89466.865959492614</v>
      </c>
      <c r="AV8" s="162">
        <f>AV7+IF(AND(leveraged_property,$B8&lt;=amort_period),PPMT(AV$3/12,$B8,amort_period,loan_amount),0)</f>
        <v>9463661.4646726083</v>
      </c>
      <c r="AW8" s="149">
        <f ca="1">SUM(AU8,Model_Mthly!$AA8,-AV8)</f>
        <v>10988122.701286884</v>
      </c>
      <c r="AX8" s="103"/>
      <c r="AY8" s="288">
        <f ca="1">IF(AND(leveraged_property,down_payment&gt;0),IRR(($AC$4:AC7,AE8),),"N/A")</f>
        <v>1.3637449631787181E-3</v>
      </c>
      <c r="AZ8" s="288">
        <f ca="1">IF(AND(leveraged_property,down_payment&gt;0),IRR(($AF$4:AF7,AH8),),"N/A")</f>
        <v>1.1855150321482633E-3</v>
      </c>
      <c r="BA8" s="288">
        <f ca="1">IF(AND(leveraged_property,down_payment&gt;0),IRR(($AI$4:AI7,AK8),),"N/A")</f>
        <v>1.0072374812287656E-3</v>
      </c>
      <c r="BB8" s="303">
        <f ca="1">IF(AND(leveraged_property,down_payment&gt;0),IRR(($AL$4:AL7,AN8),),"N/A")</f>
        <v>8.289151409999326E-4</v>
      </c>
      <c r="BC8" s="288">
        <f ca="1">IF(AND(leveraged_property,down_payment&gt;0),IRR(($AO$4:AO7,AQ8),),"N/A")</f>
        <v>6.5055075085643319E-4</v>
      </c>
      <c r="BD8" s="288">
        <f ca="1">IF(AND(leveraged_property,down_payment&gt;0),IRR(($AR$4:AR7,AT8),),"N/A")</f>
        <v>4.7214695725200564E-4</v>
      </c>
      <c r="BE8" s="288">
        <f ca="1">IF(AND(leveraged_property,down_payment&gt;0),IRR(($AU$4:AU7,AW8),),"N/A")</f>
        <v>2.9370631234301617E-4</v>
      </c>
      <c r="BF8" s="103"/>
      <c r="BG8" s="290">
        <f ca="1">IF(AND(leveraged_property,down_payment&gt;0),((1+AY8)^12)-1,"N/A")</f>
        <v>1.6488246079975344E-2</v>
      </c>
      <c r="BH8" s="290">
        <f ca="1">IF(AND(leveraged_property,down_payment&gt;0),((1+AZ8)^12)-1,"N/A")</f>
        <v>1.431930735322573E-2</v>
      </c>
      <c r="BI8" s="290">
        <f ca="1">IF(AND(leveraged_property,down_payment&gt;0),((1+BA8)^12)-1,"N/A")</f>
        <v>1.2154033901122352E-2</v>
      </c>
      <c r="BJ8" s="305">
        <f ca="1">IF(AND(leveraged_property,down_payment&gt;0),((1+BB8)^12)-1,"N/A")</f>
        <v>9.9924558470532165E-3</v>
      </c>
      <c r="BK8" s="290">
        <f ca="1">IF(AND(leveraged_property,down_payment&gt;0),((1+BC8)^12)-1,"N/A")</f>
        <v>7.8346019446802195E-3</v>
      </c>
      <c r="BL8" s="290">
        <f ca="1">IF(AND(leveraged_property,down_payment&gt;0),((1+BD8)^12)-1,"N/A")</f>
        <v>5.6804995685955095E-3</v>
      </c>
      <c r="BM8" s="290">
        <f ca="1">IF(AND(leveraged_property,down_payment&gt;0),((1+BE8)^12)-1,"N/A")</f>
        <v>3.530174710006051E-3</v>
      </c>
    </row>
    <row r="9" spans="1:65">
      <c r="A9" s="137">
        <f>Model_Mthly!A9</f>
        <v>40313</v>
      </c>
      <c r="B9" s="138">
        <f>Model_Mthly!B9</f>
        <v>5</v>
      </c>
      <c r="C9" s="223"/>
      <c r="D9" s="139">
        <f>Model_Mthly!AQ9</f>
        <v>89520.044872034778</v>
      </c>
      <c r="E9" s="231">
        <f>IF(OR($H$3&lt;=0.0075,$H$3=""),0,SUM(Model_Mthly!AQ9,(SUM(Model_Mthly!Q10:Q21)/$E$3)*(1-cost_of_sale),-Model_Mthly!V9))</f>
        <v>13107995.009600354</v>
      </c>
      <c r="F9" s="231">
        <f>IF(OR($H$3&lt;=0.0075,$H$3=""),0,SUM(Model_Mthly!AQ9,(SUM(Model_Mthly!Q10:Q21)/$F$3)*(1-cost_of_sale),-Model_Mthly!V9))</f>
        <v>12359128.184772773</v>
      </c>
      <c r="G9" s="231">
        <f>IF(OR($H$3&lt;=0.0075,$H$3=""),0,SUM(Model_Mthly!AQ9,(SUM(Model_Mthly!Q10:Q21)/$G$3)*(1-cost_of_sale),-Model_Mthly!V9))</f>
        <v>11658575.348643737</v>
      </c>
      <c r="H9" s="232">
        <f>IF(OR($H$3&lt;=0.0075,$H$3=""),0,SUM(Model_Mthly!AQ9,(SUM(Model_Mthly!Q10:Q21)/$H$3)*(1-cost_of_sale),-Model_Mthly!V9))</f>
        <v>11001807.064772772</v>
      </c>
      <c r="I9" s="231">
        <f>IF(OR($H$3&lt;=0.0075,$H$3=""),0,SUM(Model_Mthly!AQ9,(SUM(Model_Mthly!Q10:Q21)/$I$3)*(1-cost_of_sale),-Model_Mthly!V9))</f>
        <v>10384842.919318223</v>
      </c>
      <c r="J9" s="231">
        <f>IF(OR($H$3&lt;=0.0075,$H$3=""),0,SUM(Model_Mthly!AQ9,(SUM(Model_Mthly!Q10:Q21)/$J$3)*(1-cost_of_sale),-Model_Mthly!V9))</f>
        <v>9804170.7824198287</v>
      </c>
      <c r="K9" s="231">
        <f>IF(OR($H$3&lt;=0.0075,$H$3=""),0,SUM(Model_Mthly!AQ9,(SUM(Model_Mthly!Q10:Q21)/$K$3)*(1-cost_of_sale),-Model_Mthly!V9))</f>
        <v>9256679.9104870539</v>
      </c>
      <c r="L9" s="160"/>
      <c r="M9" s="302">
        <f>IF(OR($H$3&lt;=0.0075,$H$3="",down_payment&lt;=0),"N/A",IRR(($D$4:D8,E9),))</f>
        <v>3.7634230326721224E-2</v>
      </c>
      <c r="N9" s="288">
        <f>IF(OR($H$3&lt;=0.0075,$H$3="",down_payment&lt;=0),"N/A",IRR(($D$4:D8,F9),))</f>
        <v>2.5666781631022696E-2</v>
      </c>
      <c r="O9" s="288">
        <f>IF(OR($H$3&lt;=0.0075,$H$3="",down_payment&lt;=0),"N/A",IRR(($D$4:D8,G9),))</f>
        <v>1.393829695280936E-2</v>
      </c>
      <c r="P9" s="303">
        <f>IF(OR($H$3&lt;=0.0075,$H$3="",down_payment&lt;=0),"N/A",IRR(($D$4:D8,H9),))</f>
        <v>2.4232734728050114E-3</v>
      </c>
      <c r="Q9" s="288">
        <f>IF(OR($H$3&lt;=0.0075,$H$3="",down_payment&lt;=0),"N/A",IRR(($D$4:D8,I9),))</f>
        <v>-8.9019534063000394E-3</v>
      </c>
      <c r="R9" s="288">
        <f>IF(OR($H$3&lt;=0.0075,$H$3="",down_payment&lt;=0),"N/A",IRR(($D$4:D8,J9),))</f>
        <v>-2.0059503967667303E-2</v>
      </c>
      <c r="S9" s="288">
        <f>IF(OR($H$3&lt;=0.0075,$H$3="",down_payment&lt;=0),"N/A",IRR(($D$4:D8,K9),))</f>
        <v>-3.1070212483186518E-2</v>
      </c>
      <c r="T9" s="233"/>
      <c r="U9" s="304">
        <f t="shared" si="4"/>
        <v>0.5578709610925614</v>
      </c>
      <c r="V9" s="304">
        <f t="shared" si="5"/>
        <v>0.35542497129409401</v>
      </c>
      <c r="W9" s="304">
        <f t="shared" si="6"/>
        <v>0.18069662710230117</v>
      </c>
      <c r="X9" s="305">
        <f t="shared" si="7"/>
        <v>2.9469998211868242E-2</v>
      </c>
      <c r="Y9" s="304">
        <f t="shared" si="8"/>
        <v>-0.1017454164353111</v>
      </c>
      <c r="Z9" s="304">
        <f t="shared" si="9"/>
        <v>-0.2158548456728675</v>
      </c>
      <c r="AA9" s="304">
        <f t="shared" si="10"/>
        <v>-0.31528839299058986</v>
      </c>
      <c r="AB9" s="103"/>
      <c r="AC9" s="149">
        <f>SUM(Model_Mthly!$Q9,-IF(AND(leveraged_property,B9&lt;=amort_period),-PMT(AC$3/12,amort_period,loan_amount),0))</f>
        <v>93903.50303220388</v>
      </c>
      <c r="AD9" s="149">
        <f>AD8+IF(AND(leveraged_property,$B9&lt;=amort_period),PPMT(AD$3/12,$B9,amort_period,loan_amount),0)</f>
        <v>9439763.3589712828</v>
      </c>
      <c r="AE9" s="149">
        <f ca="1">SUM(AC9,Model_Mthly!$AA9,-AD9)</f>
        <v>11013956.944060922</v>
      </c>
      <c r="AF9" s="149">
        <f>SUM(Model_Mthly!$Q9,-IF(AND(leveraged_property,B9&lt;=amort_period),-PMT(AF$3/12,amort_period,loan_amount),0))</f>
        <v>92461.945813846876</v>
      </c>
      <c r="AG9" s="149">
        <f>AG8+IF(AND(leveraged_property,$B9&lt;=amort_period),PPMT(AG$3/12,$B9,amort_period,loan_amount),0)</f>
        <v>9442448.7965126354</v>
      </c>
      <c r="AH9" s="149">
        <f ca="1">SUM(AF9,Model_Mthly!$AA9,-AG9)</f>
        <v>11009829.949301211</v>
      </c>
      <c r="AI9" s="149">
        <f>SUM(Model_Mthly!$Q9,-IF(AND(leveraged_property,B9&lt;=amort_period),-PMT(AI$3/12,amort_period,loan_amount),0))</f>
        <v>91000.648296520172</v>
      </c>
      <c r="AJ9" s="149">
        <f>AJ8+IF(AND(leveraged_property,$B9&lt;=amort_period),PPMT(AJ$3/12,$B9,amort_period,loan_amount),0)</f>
        <v>9445036.9139285348</v>
      </c>
      <c r="AK9" s="149">
        <f ca="1">SUM(AI9,Model_Mthly!$AA9,-AJ9)</f>
        <v>11005780.534367986</v>
      </c>
      <c r="AL9" s="229">
        <f>SUM(Model_Mthly!$Q9,-IF(AND(leveraged_property,B9&lt;=amort_period),-PMT(AL$3/12,amort_period,loan_amount),0))</f>
        <v>89520.044872034778</v>
      </c>
      <c r="AM9" s="229">
        <f>AM8+IF(AND(leveraged_property,$B9&lt;=amort_period),PPMT(AM$3/12,$B9,amort_period,loan_amount),0)</f>
        <v>9447529.7800992634</v>
      </c>
      <c r="AN9" s="229">
        <f ca="1">SUM(AL9,Model_Mthly!$AA9,-AM9)</f>
        <v>11001807.064772772</v>
      </c>
      <c r="AO9" s="149">
        <f>SUM(Model_Mthly!$Q9,-IF(AND(leveraged_property,B9&lt;=amort_period),-PMT(AO$3/12,amort_period,loan_amount),0))</f>
        <v>88020.578637862578</v>
      </c>
      <c r="AP9" s="162">
        <f>AP8+IF(AND(leveraged_property,$B9&lt;=amort_period),PPMT(AP$3/12,$B9,amort_period,loan_amount),0)</f>
        <v>9449929.5114036072</v>
      </c>
      <c r="AQ9" s="149">
        <f ca="1">SUM(AO9,Model_Mthly!$AA9,-AP9)</f>
        <v>10997907.867234258</v>
      </c>
      <c r="AR9" s="149">
        <f>SUM(Model_Mthly!$Q9,-IF(AND(leveraged_property,B9&lt;=amort_period),-PMT(AR$3/12,amort_period,loan_amount),0))</f>
        <v>86502.700110487902</v>
      </c>
      <c r="AS9" s="162">
        <f>AS8+IF(AND(leveraged_property,$B9&lt;=amort_period),PPMT(AS$3/12,$B9,amort_period,loan_amount),0)</f>
        <v>9452238.2653162666</v>
      </c>
      <c r="AT9" s="149">
        <f ca="1">SUM(AR9,Model_Mthly!$AA9,-AS9)</f>
        <v>10994081.234794222</v>
      </c>
      <c r="AU9" s="149">
        <f>SUM(Model_Mthly!$Q9,-IF(AND(leveraged_property,B9&lt;=amort_period),-PMT(AU$3/12,amort_period,loan_amount),0))</f>
        <v>84966.865959492614</v>
      </c>
      <c r="AV9" s="162">
        <f>AV8+IF(AND(leveraged_property,$B9&lt;=amort_period),PPMT(AV$3/12,$B9,amort_period,loan_amount),0)</f>
        <v>9454458.234093938</v>
      </c>
      <c r="AW9" s="149">
        <f ca="1">SUM(AU9,Model_Mthly!$AA9,-AV9)</f>
        <v>10990325.431865554</v>
      </c>
      <c r="AX9" s="103"/>
      <c r="AY9" s="288">
        <f ca="1">IF(AND(leveraged_property,down_payment&gt;0),IRR(($AC$4:AC8,AE9),),"N/A")</f>
        <v>2.9576560781554222E-3</v>
      </c>
      <c r="AZ9" s="288">
        <f ca="1">IF(AND(leveraged_property,down_payment&gt;0),IRR(($AF$4:AF8,AH9),),"N/A")</f>
        <v>2.7795961579466463E-3</v>
      </c>
      <c r="BA9" s="288">
        <f ca="1">IF(AND(leveraged_property,down_payment&gt;0),IRR(($AI$4:AI8,AK9),),"N/A")</f>
        <v>2.6014673340026754E-3</v>
      </c>
      <c r="BB9" s="303">
        <f ca="1">IF(AND(leveraged_property,down_payment&gt;0),IRR(($AL$4:AL8,AN9),),"N/A")</f>
        <v>2.4232734728050114E-3</v>
      </c>
      <c r="BC9" s="288">
        <f ca="1">IF(AND(leveraged_property,down_payment&gt;0),IRR(($AO$4:AO8,AQ9),),"N/A")</f>
        <v>2.2450183242520537E-3</v>
      </c>
      <c r="BD9" s="288">
        <f ca="1">IF(AND(leveraged_property,down_payment&gt;0),IRR(($AR$4:AR8,AT9),),"N/A")</f>
        <v>2.0667055188403833E-3</v>
      </c>
      <c r="BE9" s="288">
        <f ca="1">IF(AND(leveraged_property,down_payment&gt;0),IRR(($AU$4:AU8,AW9),),"N/A")</f>
        <v>1.888338565374855E-3</v>
      </c>
      <c r="BF9" s="103"/>
      <c r="BG9" s="290">
        <f ca="1">IF(AND(leveraged_property,down_payment&gt;0),((1+AY9)^12)-1,"N/A")</f>
        <v>3.6074953152523515E-2</v>
      </c>
      <c r="BH9" s="290">
        <f ca="1">IF(AND(leveraged_property,down_payment&gt;0),((1+AZ9)^12)-1,"N/A")</f>
        <v>3.3869834422193712E-2</v>
      </c>
      <c r="BI9" s="290">
        <f ca="1">IF(AND(leveraged_property,down_payment&gt;0),((1+BA9)^12)-1,"N/A")</f>
        <v>3.1668167775589673E-2</v>
      </c>
      <c r="BJ9" s="305">
        <f ca="1">IF(AND(leveraged_property,down_payment&gt;0),((1+BB9)^12)-1,"N/A")</f>
        <v>2.9469998211868242E-2</v>
      </c>
      <c r="BK9" s="290">
        <f ca="1">IF(AND(leveraged_property,down_payment&gt;0),((1+BC9)^12)-1,"N/A")</f>
        <v>2.7275368920169019E-2</v>
      </c>
      <c r="BL9" s="290">
        <f ca="1">IF(AND(leveraged_property,down_payment&gt;0),((1+BD9)^12)-1,"N/A")</f>
        <v>2.5084321260362197E-2</v>
      </c>
      <c r="BM9" s="290">
        <f ca="1">IF(AND(leveraged_property,down_payment&gt;0),((1+BE9)^12)-1,"N/A")</f>
        <v>2.2896894750648489E-2</v>
      </c>
    </row>
    <row r="10" spans="1:65">
      <c r="A10" s="137">
        <f>Model_Mthly!A10</f>
        <v>40344</v>
      </c>
      <c r="B10" s="138">
        <f>Model_Mthly!B10</f>
        <v>6</v>
      </c>
      <c r="C10" s="223"/>
      <c r="D10" s="139">
        <f>Model_Mthly!AQ10</f>
        <v>82020.044872034778</v>
      </c>
      <c r="E10" s="231">
        <f>IF(OR($H$3&lt;=0.0075,$H$3=""),0,SUM(Model_Mthly!AQ10,(SUM(Model_Mthly!Q11:Q22)/$E$3)*(1-cost_of_sale),-Model_Mthly!V10))</f>
        <v>13106388.407259189</v>
      </c>
      <c r="F10" s="231">
        <f>IF(OR($H$3&lt;=0.0075,$H$3=""),0,SUM(Model_Mthly!AQ10,(SUM(Model_Mthly!Q11:Q22)/$F$3)*(1-cost_of_sale),-Model_Mthly!V10))</f>
        <v>12357679.761741947</v>
      </c>
      <c r="G10" s="231">
        <f>IF(OR($H$3&lt;=0.0075,$H$3=""),0,SUM(Model_Mthly!AQ10,(SUM(Model_Mthly!Q11:Q22)/$G$3)*(1-cost_of_sale),-Model_Mthly!V10))</f>
        <v>11657274.899806462</v>
      </c>
      <c r="H10" s="232">
        <f>IF(OR($H$3&lt;=0.0075,$H$3=""),0,SUM(Model_Mthly!AQ10,(SUM(Model_Mthly!Q11:Q22)/$H$3)*(1-cost_of_sale),-Model_Mthly!V10))</f>
        <v>11000645.341741949</v>
      </c>
      <c r="I10" s="231">
        <f>IF(OR($H$3&lt;=0.0075,$H$3=""),0,SUM(Model_Mthly!AQ10,(SUM(Model_Mthly!Q11:Q22)/$I$3)*(1-cost_of_sale),-Model_Mthly!V10))</f>
        <v>10383811.514469218</v>
      </c>
      <c r="J10" s="231">
        <f>IF(OR($H$3&lt;=0.0075,$H$3=""),0,SUM(Model_Mthly!AQ10,(SUM(Model_Mthly!Q11:Q22)/$J$3)*(1-cost_of_sale),-Model_Mthly!V10))</f>
        <v>9803262.0299772397</v>
      </c>
      <c r="K10" s="231">
        <f>IF(OR($H$3&lt;=0.0075,$H$3=""),0,SUM(Model_Mthly!AQ10,(SUM(Model_Mthly!Q11:Q22)/$K$3)*(1-cost_of_sale),-Model_Mthly!V10))</f>
        <v>9255886.8017419428</v>
      </c>
      <c r="L10" s="160"/>
      <c r="M10" s="302">
        <f>IF(OR($H$3&lt;=0.0075,$H$3="",down_payment&lt;=0),"N/A",IRR(($D$4:D9,E10),))</f>
        <v>3.2512358335880218E-2</v>
      </c>
      <c r="N10" s="288">
        <f>IF(OR($H$3&lt;=0.0075,$H$3="",down_payment&lt;=0),"N/A",IRR(($D$4:D9,F10),))</f>
        <v>2.2617778988032008E-2</v>
      </c>
      <c r="O10" s="288">
        <f>IF(OR($H$3&lt;=0.0075,$H$3="",down_payment&lt;=0),"N/A",IRR(($D$4:D9,G10),))</f>
        <v>1.2903186510786931E-2</v>
      </c>
      <c r="P10" s="303">
        <f>IF(OR($H$3&lt;=0.0075,$H$3="",down_payment&lt;=0),"N/A",IRR(($D$4:D9,H10),))</f>
        <v>3.3482863325517884E-3</v>
      </c>
      <c r="Q10" s="288">
        <f>IF(OR($H$3&lt;=0.0075,$H$3="",down_payment&lt;=0),"N/A",IRR(($D$4:D9,I10),))</f>
        <v>-6.0658374961306272E-3</v>
      </c>
      <c r="R10" s="288">
        <f>IF(OR($H$3&lt;=0.0075,$H$3="",down_payment&lt;=0),"N/A",IRR(($D$4:D9,J10),))</f>
        <v>-1.5356951515415041E-2</v>
      </c>
      <c r="S10" s="288">
        <f>IF(OR($H$3&lt;=0.0075,$H$3="",down_payment&lt;=0),"N/A",IRR(($D$4:D9,K10),))</f>
        <v>-2.454187556880915E-2</v>
      </c>
      <c r="T10" s="233"/>
      <c r="U10" s="304">
        <f t="shared" si="4"/>
        <v>0.46805762185657995</v>
      </c>
      <c r="V10" s="304">
        <f t="shared" si="5"/>
        <v>0.30785641809058317</v>
      </c>
      <c r="W10" s="304">
        <f t="shared" si="6"/>
        <v>0.16631335525281288</v>
      </c>
      <c r="X10" s="305">
        <f t="shared" si="7"/>
        <v>4.0927684246482743E-2</v>
      </c>
      <c r="Y10" s="304">
        <f t="shared" si="8"/>
        <v>-7.0410058415191101E-2</v>
      </c>
      <c r="Z10" s="304">
        <f t="shared" si="9"/>
        <v>-0.16948815684701246</v>
      </c>
      <c r="AA10" s="304">
        <f t="shared" si="10"/>
        <v>-0.25782971351359729</v>
      </c>
      <c r="AB10" s="103"/>
      <c r="AC10" s="149">
        <f>SUM(Model_Mthly!$Q10,-IF(AND(leveraged_property,B10&lt;=amort_period),-PMT(AC$3/12,amort_period,loan_amount),0))</f>
        <v>86403.50303220388</v>
      </c>
      <c r="AD10" s="149">
        <f>AD9+IF(AND(leveraged_property,$B10&lt;=amort_period),PPMT(AD$3/12,$B10,amort_period,loan_amount),0)</f>
        <v>9427572.5919660814</v>
      </c>
      <c r="AE10" s="149">
        <f ca="1">SUM(AC10,Model_Mthly!$AA10,-AD10)</f>
        <v>11014347.211066123</v>
      </c>
      <c r="AF10" s="149">
        <f>SUM(Model_Mthly!$Q10,-IF(AND(leveraged_property,B10&lt;=amort_period),-PMT(AF$3/12,amort_period,loan_amount),0))</f>
        <v>84961.945813846876</v>
      </c>
      <c r="AG10" s="149">
        <f>AG9+IF(AND(leveraged_property,$B10&lt;=amort_period),PPMT(AG$3/12,$B10,amort_period,loan_amount),0)</f>
        <v>9430794.2789786179</v>
      </c>
      <c r="AH10" s="149">
        <f ca="1">SUM(AF10,Model_Mthly!$AA10,-AG10)</f>
        <v>11009683.966835229</v>
      </c>
      <c r="AI10" s="149">
        <f>SUM(Model_Mthly!$Q10,-IF(AND(leveraged_property,B10&lt;=amort_period),-PMT(AI$3/12,amort_period,loan_amount),0))</f>
        <v>83500.648296520172</v>
      </c>
      <c r="AJ10" s="149">
        <f>AJ9+IF(AND(leveraged_property,$B10&lt;=amort_period),PPMT(AJ$3/12,$B10,amort_period,loan_amount),0)</f>
        <v>9433899.5987234917</v>
      </c>
      <c r="AK10" s="149">
        <f ca="1">SUM(AI10,Model_Mthly!$AA10,-AJ10)</f>
        <v>11005117.349573029</v>
      </c>
      <c r="AL10" s="229">
        <f>SUM(Model_Mthly!$Q10,-IF(AND(leveraged_property,B10&lt;=amort_period),-PMT(AL$3/12,amort_period,loan_amount),0))</f>
        <v>82020.044872034778</v>
      </c>
      <c r="AM10" s="229">
        <f>AM9+IF(AND(leveraged_property,$B10&lt;=amort_period),PPMT(AM$3/12,$B10,amort_period,loan_amount),0)</f>
        <v>9436891.0031300858</v>
      </c>
      <c r="AN10" s="229">
        <f ca="1">SUM(AL10,Model_Mthly!$AA10,-AM10)</f>
        <v>11000645.341741949</v>
      </c>
      <c r="AO10" s="149">
        <f>SUM(Model_Mthly!$Q10,-IF(AND(leveraged_property,B10&lt;=amort_period),-PMT(AO$3/12,amort_period,loan_amount),0))</f>
        <v>80520.578637862578</v>
      </c>
      <c r="AP10" s="162">
        <f>AP9+IF(AND(leveraged_property,$B10&lt;=amort_period),PPMT(AP$3/12,$B10,amort_period,loan_amount),0)</f>
        <v>9439771.0022836123</v>
      </c>
      <c r="AQ10" s="149">
        <f ca="1">SUM(AO10,Model_Mthly!$AA10,-AP10)</f>
        <v>10996265.876354253</v>
      </c>
      <c r="AR10" s="149">
        <f>SUM(Model_Mthly!$Q10,-IF(AND(leveraged_property,B10&lt;=amort_period),-PMT(AR$3/12,amort_period,loan_amount),0))</f>
        <v>79002.700110487902</v>
      </c>
      <c r="AS10" s="162">
        <f>AS9+IF(AND(leveraged_property,$B10&lt;=amort_period),PPMT(AS$3/12,$B10,amort_period,loan_amount),0)</f>
        <v>9442542.1567533351</v>
      </c>
      <c r="AT10" s="149">
        <f ca="1">SUM(AR10,Model_Mthly!$AA10,-AS10)</f>
        <v>10991976.843357153</v>
      </c>
      <c r="AU10" s="149">
        <f>SUM(Model_Mthly!$Q10,-IF(AND(leveraged_property,B10&lt;=amort_period),-PMT(AU$3/12,amort_period,loan_amount),0))</f>
        <v>77466.865959492614</v>
      </c>
      <c r="AV10" s="162">
        <f>AV9+IF(AND(leveraged_property,$B10&lt;=amort_period),PPMT(AV$3/12,$B10,amort_period,loan_amount),0)</f>
        <v>9445207.0700226706</v>
      </c>
      <c r="AW10" s="149">
        <f ca="1">SUM(AU10,Model_Mthly!$AA10,-AV10)</f>
        <v>10987776.095936822</v>
      </c>
      <c r="AX10" s="103"/>
      <c r="AY10" s="288">
        <f ca="1">IF(AND(leveraged_property,down_payment&gt;0),IRR(($AC$4:AC9,AE10),),"N/A")</f>
        <v>3.8823109364548927E-3</v>
      </c>
      <c r="AZ10" s="288">
        <f ca="1">IF(AND(leveraged_property,down_payment&gt;0),IRR(($AF$4:AF9,AH10),),"N/A")</f>
        <v>3.7043910894084945E-3</v>
      </c>
      <c r="BA10" s="288">
        <f ca="1">IF(AND(leveraged_property,down_payment&gt;0),IRR(($AI$4:AI9,AK10),),"N/A")</f>
        <v>3.5263812596014925E-3</v>
      </c>
      <c r="BB10" s="303">
        <f ca="1">IF(AND(leveraged_property,down_payment&gt;0),IRR(($AL$4:AL9,AN10),),"N/A")</f>
        <v>3.3482863325517884E-3</v>
      </c>
      <c r="BC10" s="288">
        <f ca="1">IF(AND(leveraged_property,down_payment&gt;0),IRR(($AO$4:AO9,AQ10),),"N/A")</f>
        <v>3.1701110528764573E-3</v>
      </c>
      <c r="BD10" s="288">
        <f ca="1">IF(AND(leveraged_property,down_payment&gt;0),IRR(($AR$4:AR9,AT10),),"N/A")</f>
        <v>2.9918600203583407E-3</v>
      </c>
      <c r="BE10" s="288">
        <f ca="1">IF(AND(leveraged_property,down_payment&gt;0),IRR(($AU$4:AU9,AW10),),"N/A")</f>
        <v>2.81353768667959E-3</v>
      </c>
      <c r="BF10" s="103"/>
      <c r="BG10" s="290">
        <f ca="1">IF(AND(leveraged_property,down_payment&gt;0),((1+AY10)^12)-1,"N/A")</f>
        <v>4.7595492123407634E-2</v>
      </c>
      <c r="BH10" s="290">
        <f ca="1">IF(AND(leveraged_property,down_payment&gt;0),((1+AZ10)^12)-1,"N/A")</f>
        <v>4.5369656102928424E-2</v>
      </c>
      <c r="BI10" s="290">
        <f ca="1">IF(AND(leveraged_property,down_payment&gt;0),((1+BA10)^12)-1,"N/A")</f>
        <v>4.3147033575075433E-2</v>
      </c>
      <c r="BJ10" s="305">
        <f ca="1">IF(AND(leveraged_property,down_payment&gt;0),((1+BB10)^12)-1,"N/A")</f>
        <v>4.0927684246482743E-2</v>
      </c>
      <c r="BK10" s="290">
        <f ca="1">IF(AND(leveraged_property,down_payment&gt;0),((1+BC10)^12)-1,"N/A")</f>
        <v>3.871166559052619E-2</v>
      </c>
      <c r="BL10" s="290">
        <f ca="1">IF(AND(leveraged_property,down_payment&gt;0),((1+BD10)^12)-1,"N/A")</f>
        <v>3.6499032817199017E-2</v>
      </c>
      <c r="BM10" s="290">
        <f ca="1">IF(AND(leveraged_property,down_payment&gt;0),((1+BE10)^12)-1,"N/A")</f>
        <v>3.4289838851796484E-2</v>
      </c>
    </row>
    <row r="11" spans="1:65">
      <c r="A11" s="137">
        <f>Model_Mthly!A11</f>
        <v>40374</v>
      </c>
      <c r="B11" s="138">
        <f>Model_Mthly!B11</f>
        <v>7</v>
      </c>
      <c r="C11" s="223"/>
      <c r="D11" s="139">
        <f>Model_Mthly!AQ11</f>
        <v>82520.044872034778</v>
      </c>
      <c r="E11" s="231">
        <f>IF(OR($H$3&lt;=0.0075,$H$3=""),0,SUM(Model_Mthly!AQ11,(SUM(Model_Mthly!Q12:Q23)/$E$3)*(1-cost_of_sale),-Model_Mthly!V11))</f>
        <v>13108566.179772232</v>
      </c>
      <c r="F11" s="231">
        <f>IF(OR($H$3&lt;=0.0075,$H$3=""),0,SUM(Model_Mthly!AQ11,(SUM(Model_Mthly!Q12:Q23)/$F$3)*(1-cost_of_sale),-Model_Mthly!V11))</f>
        <v>12360157.859772231</v>
      </c>
      <c r="G11" s="231">
        <f>IF(OR($H$3&lt;=0.0075,$H$3=""),0,SUM(Model_Mthly!AQ11,(SUM(Model_Mthly!Q12:Q23)/$G$3)*(1-cost_of_sale),-Model_Mthly!V11))</f>
        <v>11660033.947514169</v>
      </c>
      <c r="H11" s="232">
        <f>IF(OR($H$3&lt;=0.0075,$H$3=""),0,SUM(Model_Mthly!AQ11,(SUM(Model_Mthly!Q12:Q23)/$H$3)*(1-cost_of_sale),-Model_Mthly!V11))</f>
        <v>11003667.779772229</v>
      </c>
      <c r="I11" s="231">
        <f>IF(OR($H$3&lt;=0.0075,$H$3=""),0,SUM(Model_Mthly!AQ11,(SUM(Model_Mthly!Q12:Q23)/$I$3)*(1-cost_of_sale),-Model_Mthly!V11))</f>
        <v>10387081.379772231</v>
      </c>
      <c r="J11" s="231">
        <f>IF(OR($H$3&lt;=0.0075,$H$3=""),0,SUM(Model_Mthly!AQ11,(SUM(Model_Mthly!Q12:Q23)/$J$3)*(1-cost_of_sale),-Model_Mthly!V11))</f>
        <v>9806764.7680075243</v>
      </c>
      <c r="K11" s="231">
        <f>IF(OR($H$3&lt;=0.0075,$H$3=""),0,SUM(Model_Mthly!AQ11,(SUM(Model_Mthly!Q12:Q23)/$K$3)*(1-cost_of_sale),-Model_Mthly!V11))</f>
        <v>9259609.1054865159</v>
      </c>
      <c r="L11" s="160"/>
      <c r="M11" s="302">
        <f>IF(OR($H$3&lt;=0.0075,$H$3="",down_payment&lt;=0),"N/A",IRR(($D$4:D10,E11),))</f>
        <v>2.8827277972627092E-2</v>
      </c>
      <c r="N11" s="288">
        <f>IF(OR($H$3&lt;=0.0075,$H$3="",down_payment&lt;=0),"N/A",IRR(($D$4:D10,F11),))</f>
        <v>2.0403169621139316E-2</v>
      </c>
      <c r="O11" s="288">
        <f>IF(OR($H$3&lt;=0.0075,$H$3="",down_payment&lt;=0),"N/A",IRR(($D$4:D10,G11),))</f>
        <v>1.2121973347556911E-2</v>
      </c>
      <c r="P11" s="303">
        <f>IF(OR($H$3&lt;=0.0075,$H$3="",down_payment&lt;=0),"N/A",IRR(($D$4:D10,H11),))</f>
        <v>3.9668645019520655E-3</v>
      </c>
      <c r="Q11" s="288">
        <f>IF(OR($H$3&lt;=0.0075,$H$3="",down_payment&lt;=0),"N/A",IRR(($D$4:D10,I11),))</f>
        <v>-4.0778886678143732E-3</v>
      </c>
      <c r="R11" s="288">
        <f>IF(OR($H$3&lt;=0.0075,$H$3="",down_payment&lt;=0),"N/A",IRR(($D$4:D10,J11),))</f>
        <v>-1.2027112304298924E-2</v>
      </c>
      <c r="S11" s="288">
        <f>IF(OR($H$3&lt;=0.0075,$H$3="",down_payment&lt;=0),"N/A",IRR(($D$4:D10,K11),))</f>
        <v>-1.9894893322962119E-2</v>
      </c>
      <c r="T11" s="233"/>
      <c r="U11" s="304">
        <f t="shared" si="4"/>
        <v>0.40640255143253912</v>
      </c>
      <c r="V11" s="304">
        <f t="shared" si="5"/>
        <v>0.27427037818954791</v>
      </c>
      <c r="W11" s="304">
        <f t="shared" si="6"/>
        <v>0.15556463675329191</v>
      </c>
      <c r="X11" s="305">
        <f t="shared" si="7"/>
        <v>4.8654807280190226E-2</v>
      </c>
      <c r="Y11" s="304">
        <f t="shared" si="8"/>
        <v>-4.7851921029623101E-2</v>
      </c>
      <c r="Z11" s="304">
        <f t="shared" si="9"/>
        <v>-0.13515093497140718</v>
      </c>
      <c r="AA11" s="304">
        <f t="shared" si="10"/>
        <v>-0.21427273376271616</v>
      </c>
      <c r="AB11" s="103"/>
      <c r="AC11" s="149">
        <f>SUM(Model_Mthly!$Q11,-IF(AND(leveraged_property,B11&lt;=amort_period),-PMT(AC$3/12,amort_period,loan_amount),0))</f>
        <v>86903.50303220388</v>
      </c>
      <c r="AD11" s="149">
        <f>AD10+IF(AND(leveraged_property,$B11&lt;=amort_period),PPMT(AD$3/12,$B11,amort_period,loan_amount),0)</f>
        <v>9415333.5698414836</v>
      </c>
      <c r="AE11" s="149">
        <f ca="1">SUM(AC11,Model_Mthly!$AA11,-AD11)</f>
        <v>11018921.133190716</v>
      </c>
      <c r="AF11" s="149">
        <f>SUM(Model_Mthly!$Q11,-IF(AND(leveraged_property,B11&lt;=amort_period),-PMT(AF$3/12,amort_period,loan_amount),0))</f>
        <v>85461.945813846876</v>
      </c>
      <c r="AG11" s="149">
        <f>AG10+IF(AND(leveraged_property,$B11&lt;=amort_period),PPMT(AG$3/12,$B11,amort_period,loan_amount),0)</f>
        <v>9419091.200954875</v>
      </c>
      <c r="AH11" s="149">
        <f ca="1">SUM(AF11,Model_Mthly!$AA11,-AG11)</f>
        <v>11013721.944858966</v>
      </c>
      <c r="AI11" s="149">
        <f>SUM(Model_Mthly!$Q11,-IF(AND(leveraged_property,B11&lt;=amort_period),-PMT(AI$3/12,amort_period,loan_amount),0))</f>
        <v>84000.648296520172</v>
      </c>
      <c r="AJ11" s="149">
        <f>AJ10+IF(AND(leveraged_property,$B11&lt;=amort_period),PPMT(AJ$3/12,$B11,amort_period,loan_amount),0)</f>
        <v>9422713.5577644277</v>
      </c>
      <c r="AK11" s="149">
        <f ca="1">SUM(AI11,Model_Mthly!$AA11,-AJ11)</f>
        <v>11008638.290532088</v>
      </c>
      <c r="AL11" s="229">
        <f>SUM(Model_Mthly!$Q11,-IF(AND(leveraged_property,B11&lt;=amort_period),-PMT(AL$3/12,amort_period,loan_amount),0))</f>
        <v>82520.044872034778</v>
      </c>
      <c r="AM11" s="229">
        <f>AM10+IF(AND(leveraged_property,$B11&lt;=amort_period),PPMT(AM$3/12,$B11,amort_period,loan_amount),0)</f>
        <v>9426203.4650998004</v>
      </c>
      <c r="AN11" s="229">
        <f ca="1">SUM(AL11,Model_Mthly!$AA11,-AM11)</f>
        <v>11003667.779772229</v>
      </c>
      <c r="AO11" s="149">
        <f>SUM(Model_Mthly!$Q11,-IF(AND(leveraged_property,B11&lt;=amort_period),-PMT(AO$3/12,amort_period,loan_amount),0))</f>
        <v>81020.578637862578</v>
      </c>
      <c r="AP11" s="162">
        <f>AP10+IF(AND(leveraged_property,$B11&lt;=amort_period),PPMT(AP$3/12,$B11,amort_period,loan_amount),0)</f>
        <v>9429563.816974083</v>
      </c>
      <c r="AQ11" s="149">
        <f ca="1">SUM(AO11,Model_Mthly!$AA11,-AP11)</f>
        <v>10998807.961663773</v>
      </c>
      <c r="AR11" s="149">
        <f>SUM(Model_Mthly!$Q11,-IF(AND(leveraged_property,B11&lt;=amort_period),-PMT(AR$3/12,amort_period,loan_amount),0))</f>
        <v>79502.700110487902</v>
      </c>
      <c r="AS11" s="162">
        <f>AS10+IF(AND(leveraged_property,$B11&lt;=amort_period),PPMT(AS$3/12,$B11,amort_period,loan_amount),0)</f>
        <v>9432797.5676475894</v>
      </c>
      <c r="AT11" s="149">
        <f ca="1">SUM(AR11,Model_Mthly!$AA11,-AS11)</f>
        <v>10994056.332462894</v>
      </c>
      <c r="AU11" s="149">
        <f>SUM(Model_Mthly!$Q11,-IF(AND(leveraged_property,B11&lt;=amort_period),-PMT(AU$3/12,amort_period,loan_amount),0))</f>
        <v>77966.865959492614</v>
      </c>
      <c r="AV11" s="162">
        <f>AV10+IF(AND(leveraged_property,$B11&lt;=amort_period),PPMT(AV$3/12,$B11,amort_period,loan_amount),0)</f>
        <v>9435907.7228051983</v>
      </c>
      <c r="AW11" s="149">
        <f ca="1">SUM(AU11,Model_Mthly!$AA11,-AV11)</f>
        <v>10989410.343154289</v>
      </c>
      <c r="AX11" s="103"/>
      <c r="AY11" s="288">
        <f ca="1">IF(AND(leveraged_property,down_payment&gt;0),IRR(($AC$4:AC10,AE11),),"N/A")</f>
        <v>4.5004968761313121E-3</v>
      </c>
      <c r="AZ11" s="288">
        <f ca="1">IF(AND(leveraged_property,down_payment&gt;0),IRR(($AF$4:AF10,AH11),),"N/A")</f>
        <v>4.322728414062363E-3</v>
      </c>
      <c r="BA11" s="288">
        <f ca="1">IF(AND(leveraged_property,down_payment&gt;0),IRR(($AI$4:AI10,AK11),),"N/A")</f>
        <v>4.1448489927758247E-3</v>
      </c>
      <c r="BB11" s="303">
        <f ca="1">IF(AND(leveraged_property,down_payment&gt;0),IRR(($AL$4:AL10,AN11),),"N/A")</f>
        <v>3.9668645019520655E-3</v>
      </c>
      <c r="BC11" s="288">
        <f ca="1">IF(AND(leveraged_property,down_payment&gt;0),IRR(($AO$4:AO10,AQ11),),"N/A")</f>
        <v>3.7887806672166824E-3</v>
      </c>
      <c r="BD11" s="288">
        <f ca="1">IF(AND(leveraged_property,down_payment&gt;0),IRR(($AR$4:AR10,AT11),),"N/A")</f>
        <v>3.6106030450461508E-3</v>
      </c>
      <c r="BE11" s="288">
        <f ca="1">IF(AND(leveraged_property,down_payment&gt;0),IRR(($AU$4:AU10,AW11),),"N/A")</f>
        <v>3.432337018472818E-3</v>
      </c>
      <c r="BF11" s="103"/>
      <c r="BG11" s="290">
        <f ca="1">IF(AND(leveraged_property,down_payment&gt;0),((1+AY11)^12)-1,"N/A")</f>
        <v>5.5363016356354988E-2</v>
      </c>
      <c r="BH11" s="290">
        <f ca="1">IF(AND(leveraged_property,down_payment&gt;0),((1+AZ11)^12)-1,"N/A")</f>
        <v>5.3123960122038127E-2</v>
      </c>
      <c r="BI11" s="290">
        <f ca="1">IF(AND(leveraged_property,down_payment&gt;0),((1+BA11)^12)-1,"N/A")</f>
        <v>5.0887865677298194E-2</v>
      </c>
      <c r="BJ11" s="305">
        <f ca="1">IF(AND(leveraged_property,down_payment&gt;0),((1+BB11)^12)-1,"N/A")</f>
        <v>4.8654807280190226E-2</v>
      </c>
      <c r="BK11" s="290">
        <f ca="1">IF(AND(leveraged_property,down_payment&gt;0),((1+BC11)^12)-1,"N/A")</f>
        <v>4.6424856549326821E-2</v>
      </c>
      <c r="BL11" s="290">
        <f ca="1">IF(AND(leveraged_property,down_payment&gt;0),((1+BD11)^12)-1,"N/A")</f>
        <v>4.4198082422036489E-2</v>
      </c>
      <c r="BM11" s="290">
        <f ca="1">IF(AND(leveraged_property,down_payment&gt;0),((1+BE11)^12)-1,"N/A")</f>
        <v>4.1974551123188597E-2</v>
      </c>
    </row>
    <row r="12" spans="1:65">
      <c r="A12" s="137">
        <f>Model_Mthly!A12</f>
        <v>40405</v>
      </c>
      <c r="B12" s="138">
        <f>Model_Mthly!B12</f>
        <v>8</v>
      </c>
      <c r="C12" s="223"/>
      <c r="D12" s="139">
        <f>Model_Mthly!AQ12</f>
        <v>94020.044872034778</v>
      </c>
      <c r="E12" s="231">
        <f>IF(OR($H$3&lt;=0.0075,$H$3=""),0,SUM(Model_Mthly!AQ12,(SUM(Model_Mthly!Q13:Q24)/$E$3)*(1-cost_of_sale),-Model_Mthly!V12))</f>
        <v>13130426.978213895</v>
      </c>
      <c r="F12" s="231">
        <f>IF(OR($H$3&lt;=0.0075,$H$3=""),0,SUM(Model_Mthly!AQ12,(SUM(Model_Mthly!Q13:Q24)/$F$3)*(1-cost_of_sale),-Model_Mthly!V12))</f>
        <v>12382031.182351824</v>
      </c>
      <c r="G12" s="231">
        <f>IF(OR($H$3&lt;=0.0075,$H$3=""),0,SUM(Model_Mthly!AQ12,(SUM(Model_Mthly!Q13:Q24)/$G$3)*(1-cost_of_sale),-Model_Mthly!V12))</f>
        <v>11681918.986222792</v>
      </c>
      <c r="H12" s="232">
        <f>IF(OR($H$3&lt;=0.0075,$H$3=""),0,SUM(Model_Mthly!AQ12,(SUM(Model_Mthly!Q13:Q24)/$H$3)*(1-cost_of_sale),-Model_Mthly!V12))</f>
        <v>11025563.802351821</v>
      </c>
      <c r="I12" s="231">
        <f>IF(OR($H$3&lt;=0.0075,$H$3=""),0,SUM(Model_Mthly!AQ12,(SUM(Model_Mthly!Q13:Q24)/$I$3)*(1-cost_of_sale),-Model_Mthly!V12))</f>
        <v>10408987.720533643</v>
      </c>
      <c r="J12" s="231">
        <f>IF(OR($H$3&lt;=0.0075,$H$3=""),0,SUM(Model_Mthly!AQ12,(SUM(Model_Mthly!Q13:Q24)/$J$3)*(1-cost_of_sale),-Model_Mthly!V12))</f>
        <v>9828680.819998879</v>
      </c>
      <c r="K12" s="231">
        <f>IF(OR($H$3&lt;=0.0075,$H$3=""),0,SUM(Model_Mthly!AQ12,(SUM(Model_Mthly!Q13:Q24)/$K$3)*(1-cost_of_sale),-Model_Mthly!V12))</f>
        <v>9281534.3137803935</v>
      </c>
      <c r="L12" s="160"/>
      <c r="M12" s="302">
        <f>IF(OR($H$3&lt;=0.0075,$H$3="",down_payment&lt;=0),"N/A",IRR(($D$4:D11,E12),))</f>
        <v>2.6264279015709598E-2</v>
      </c>
      <c r="N12" s="288">
        <f>IF(OR($H$3&lt;=0.0075,$H$3="",down_payment&lt;=0),"N/A",IRR(($D$4:D11,F12),))</f>
        <v>1.8944738582263067E-2</v>
      </c>
      <c r="O12" s="288">
        <f>IF(OR($H$3&lt;=0.0075,$H$3="",down_payment&lt;=0),"N/A",IRR(($D$4:D11,G12),))</f>
        <v>1.1743379460625798E-2</v>
      </c>
      <c r="P12" s="303">
        <f>IF(OR($H$3&lt;=0.0075,$H$3="",down_payment&lt;=0),"N/A",IRR(($D$4:D11,H12),))</f>
        <v>4.6458778273228566E-3</v>
      </c>
      <c r="Q12" s="288">
        <f>IF(OR($H$3&lt;=0.0075,$H$3="",down_payment&lt;=0),"N/A",IRR(($D$4:D11,I12),))</f>
        <v>-2.3611866798628521E-3</v>
      </c>
      <c r="R12" s="288">
        <f>IF(OR($H$3&lt;=0.0075,$H$3="",down_payment&lt;=0),"N/A",IRR(($D$4:D11,J12),))</f>
        <v>-9.2904886103823379E-3</v>
      </c>
      <c r="S12" s="288">
        <f>IF(OR($H$3&lt;=0.0075,$H$3="",down_payment&lt;=0),"N/A",IRR(($D$4:D11,K12),))</f>
        <v>-1.6154097116114742E-2</v>
      </c>
      <c r="T12" s="233"/>
      <c r="U12" s="304">
        <f t="shared" si="4"/>
        <v>0.36493054642242218</v>
      </c>
      <c r="V12" s="304">
        <f t="shared" si="5"/>
        <v>0.25258605838004589</v>
      </c>
      <c r="W12" s="304">
        <f t="shared" si="6"/>
        <v>0.15038829500052775</v>
      </c>
      <c r="X12" s="305">
        <f t="shared" si="7"/>
        <v>5.7197383235088273E-2</v>
      </c>
      <c r="Y12" s="304">
        <f t="shared" si="8"/>
        <v>-2.7969157563514258E-2</v>
      </c>
      <c r="Z12" s="304">
        <f t="shared" si="9"/>
        <v>-0.10596197618363401</v>
      </c>
      <c r="AA12" s="304">
        <f t="shared" si="10"/>
        <v>-0.17752069968030559</v>
      </c>
      <c r="AB12" s="103"/>
      <c r="AC12" s="149">
        <f>SUM(Model_Mthly!$Q12,-IF(AND(leveraged_property,B12&lt;=amort_period),-PMT(AC$3/12,amort_period,loan_amount),0))</f>
        <v>98403.50303220388</v>
      </c>
      <c r="AD12" s="149">
        <f>AD11+IF(AND(leveraged_property,$B12&lt;=amort_period),PPMT(AD$3/12,$B12,amort_period,loan_amount),0)</f>
        <v>9403046.1015876438</v>
      </c>
      <c r="AE12" s="149">
        <f ca="1">SUM(AC12,Model_Mthly!$AA12,-AD12)</f>
        <v>11042368.101444555</v>
      </c>
      <c r="AF12" s="149">
        <f>SUM(Model_Mthly!$Q12,-IF(AND(leveraged_property,B12&lt;=amort_period),-PMT(AF$3/12,amort_period,loan_amount),0))</f>
        <v>96961.945813846876</v>
      </c>
      <c r="AG12" s="149">
        <f>AG11+IF(AND(leveraged_property,$B12&lt;=amort_period),PPMT(AG$3/12,$B12,amort_period,loan_amount),0)</f>
        <v>9407339.3601060342</v>
      </c>
      <c r="AH12" s="149">
        <f ca="1">SUM(AF12,Model_Mthly!$AA12,-AG12)</f>
        <v>11036633.285707807</v>
      </c>
      <c r="AI12" s="149">
        <f>SUM(Model_Mthly!$Q12,-IF(AND(leveraged_property,B12&lt;=amort_period),-PMT(AI$3/12,amort_period,loan_amount),0))</f>
        <v>95500.648296520172</v>
      </c>
      <c r="AJ12" s="149">
        <f>AJ11+IF(AND(leveraged_property,$B12&lt;=amort_period),PPMT(AJ$3/12,$B12,amort_period,loan_amount),0)</f>
        <v>9411478.5778761674</v>
      </c>
      <c r="AK12" s="149">
        <f ca="1">SUM(AI12,Model_Mthly!$AA12,-AJ12)</f>
        <v>11031032.770420348</v>
      </c>
      <c r="AL12" s="229">
        <f>SUM(Model_Mthly!$Q12,-IF(AND(leveraged_property,B12&lt;=amort_period),-PMT(AL$3/12,amort_period,loan_amount),0))</f>
        <v>94020.044872034778</v>
      </c>
      <c r="AM12" s="229">
        <f>AM11+IF(AND(leveraged_property,$B12&lt;=amort_period),PPMT(AM$3/12,$B12,amort_period,loan_amount),0)</f>
        <v>9415466.9425202087</v>
      </c>
      <c r="AN12" s="229">
        <f ca="1">SUM(AL12,Model_Mthly!$AA12,-AM12)</f>
        <v>11025563.802351821</v>
      </c>
      <c r="AO12" s="149">
        <f>SUM(Model_Mthly!$Q12,-IF(AND(leveraged_property,B12&lt;=amort_period),-PMT(AO$3/12,amort_period,loan_amount),0))</f>
        <v>92520.578637862578</v>
      </c>
      <c r="AP12" s="162">
        <f>AP11+IF(AND(leveraged_property,$B12&lt;=amort_period),PPMT(AP$3/12,$B12,amort_period,loan_amount),0)</f>
        <v>9419307.7222349457</v>
      </c>
      <c r="AQ12" s="149">
        <f ca="1">SUM(AO12,Model_Mthly!$AA12,-AP12)</f>
        <v>11020223.556402911</v>
      </c>
      <c r="AR12" s="149">
        <f>SUM(Model_Mthly!$Q12,-IF(AND(leveraged_property,B12&lt;=amort_period),-PMT(AR$3/12,amort_period,loan_amount),0))</f>
        <v>91002.700110487902</v>
      </c>
      <c r="AS12" s="162">
        <f>AS11+IF(AND(leveraged_property,$B12&lt;=amort_period),PPMT(AS$3/12,$B12,amort_period,loan_amount),0)</f>
        <v>9423004.2555963155</v>
      </c>
      <c r="AT12" s="149">
        <f ca="1">SUM(AR12,Model_Mthly!$AA12,-AS12)</f>
        <v>11015009.144514168</v>
      </c>
      <c r="AU12" s="149">
        <f>SUM(Model_Mthly!$Q12,-IF(AND(leveraged_property,B12&lt;=amort_period),-PMT(AU$3/12,amort_period,loan_amount),0))</f>
        <v>89466.865959492614</v>
      </c>
      <c r="AV12" s="162">
        <f>AV11+IF(AND(leveraged_property,$B12&lt;=amort_period),PPMT(AV$3/12,$B12,amort_period,loan_amount),0)</f>
        <v>9426559.9414876346</v>
      </c>
      <c r="AW12" s="149">
        <f ca="1">SUM(AU12,Model_Mthly!$AA12,-AV12)</f>
        <v>11009917.624471853</v>
      </c>
      <c r="AX12" s="103"/>
      <c r="AY12" s="288">
        <f ca="1">IF(AND(leveraged_property,down_payment&gt;0),IRR(($AC$4:AC11,AE12),),"N/A")</f>
        <v>5.1785410696151331E-3</v>
      </c>
      <c r="AZ12" s="288">
        <f ca="1">IF(AND(leveraged_property,down_payment&gt;0),IRR(($AF$4:AF11,AH12),),"N/A")</f>
        <v>5.0011173090724137E-3</v>
      </c>
      <c r="BA12" s="288">
        <f ca="1">IF(AND(leveraged_property,down_payment&gt;0),IRR(($AI$4:AI11,AK12),),"N/A")</f>
        <v>4.8235605960702437E-3</v>
      </c>
      <c r="BB12" s="303">
        <f ca="1">IF(AND(leveraged_property,down_payment&gt;0),IRR(($AL$4:AL11,AN12),),"N/A")</f>
        <v>4.6458778273228566E-3</v>
      </c>
      <c r="BC12" s="288">
        <f ca="1">IF(AND(leveraged_property,down_payment&gt;0),IRR(($AO$4:AO11,AQ12),),"N/A")</f>
        <v>4.4680757145578636E-3</v>
      </c>
      <c r="BD12" s="288">
        <f ca="1">IF(AND(leveraged_property,down_payment&gt;0),IRR(($AR$4:AR11,AT12),),"N/A")</f>
        <v>4.2901607781239744E-3</v>
      </c>
      <c r="BE12" s="288">
        <f ca="1">IF(AND(leveraged_property,down_payment&gt;0),IRR(($AU$4:AU11,AW12),),"N/A")</f>
        <v>4.1121393415371596E-3</v>
      </c>
      <c r="BF12" s="103"/>
      <c r="BG12" s="290">
        <f ca="1">IF(AND(leveraged_property,down_payment&gt;0),((1+AY12)^12)-1,"N/A")</f>
        <v>6.3943345146297181E-2</v>
      </c>
      <c r="BH12" s="290">
        <f ca="1">IF(AND(leveraged_property,down_payment&gt;0),((1+AZ12)^12)-1,"N/A")</f>
        <v>6.1691975798883192E-2</v>
      </c>
      <c r="BI12" s="290">
        <f ca="1">IF(AND(leveraged_property,down_payment&gt;0),((1+BA12)^12)-1,"N/A")</f>
        <v>5.9443292100078704E-2</v>
      </c>
      <c r="BJ12" s="305">
        <f ca="1">IF(AND(leveraged_property,down_payment&gt;0),((1+BB12)^12)-1,"N/A")</f>
        <v>5.7197383235088273E-2</v>
      </c>
      <c r="BK12" s="290">
        <f ca="1">IF(AND(leveraged_property,down_payment&gt;0),((1+BC12)^12)-1,"N/A")</f>
        <v>5.4954335365031692E-2</v>
      </c>
      <c r="BL12" s="290">
        <f ca="1">IF(AND(leveraged_property,down_payment&gt;0),((1+BD12)^12)-1,"N/A")</f>
        <v>5.2714231571066472E-2</v>
      </c>
      <c r="BM12" s="290">
        <f ca="1">IF(AND(leveraged_property,down_payment&gt;0),((1+BE12)^12)-1,"N/A")</f>
        <v>5.0477151811230581E-2</v>
      </c>
    </row>
    <row r="13" spans="1:65">
      <c r="A13" s="137">
        <f>Model_Mthly!A13</f>
        <v>40436</v>
      </c>
      <c r="B13" s="138">
        <f>Model_Mthly!B13</f>
        <v>9</v>
      </c>
      <c r="C13" s="223"/>
      <c r="D13" s="139">
        <f>Model_Mthly!AQ13</f>
        <v>94020.044872034778</v>
      </c>
      <c r="E13" s="231">
        <f>IF(OR($H$3&lt;=0.0075,$H$3=""),0,SUM(Model_Mthly!AQ13,(SUM(Model_Mthly!Q14:Q25)/$E$3)*(1-cost_of_sale),-Model_Mthly!V13))</f>
        <v>13140836.985717377</v>
      </c>
      <c r="F13" s="231">
        <f>IF(OR($H$3&lt;=0.0075,$H$3=""),0,SUM(Model_Mthly!AQ13,(SUM(Model_Mthly!Q14:Q25)/$F$3)*(1-cost_of_sale),-Model_Mthly!V13))</f>
        <v>12392453.713993238</v>
      </c>
      <c r="G13" s="231">
        <f>IF(OR($H$3&lt;=0.0075,$H$3=""),0,SUM(Model_Mthly!AQ13,(SUM(Model_Mthly!Q14:Q25)/$G$3)*(1-cost_of_sale),-Model_Mthly!V13))</f>
        <v>11692353.233993238</v>
      </c>
      <c r="H13" s="232">
        <f>IF(OR($H$3&lt;=0.0075,$H$3=""),0,SUM(Model_Mthly!AQ13,(SUM(Model_Mthly!Q14:Q25)/$H$3)*(1-cost_of_sale),-Model_Mthly!V13))</f>
        <v>11036009.033993235</v>
      </c>
      <c r="I13" s="231">
        <f>IF(OR($H$3&lt;=0.0075,$H$3=""),0,SUM(Model_Mthly!AQ13,(SUM(Model_Mthly!Q14:Q25)/$I$3)*(1-cost_of_sale),-Model_Mthly!V13))</f>
        <v>10419443.270356873</v>
      </c>
      <c r="J13" s="231">
        <f>IF(OR($H$3&lt;=0.0075,$H$3=""),0,SUM(Model_Mthly!AQ13,(SUM(Model_Mthly!Q14:Q25)/$J$3)*(1-cost_of_sale),-Model_Mthly!V13))</f>
        <v>9839146.0810520593</v>
      </c>
      <c r="K13" s="231">
        <f>IF(OR($H$3&lt;=0.0075,$H$3=""),0,SUM(Model_Mthly!AQ13,(SUM(Model_Mthly!Q14:Q25)/$K$3)*(1-cost_of_sale),-Model_Mthly!V13))</f>
        <v>9292008.7311360929</v>
      </c>
      <c r="L13" s="160"/>
      <c r="M13" s="302">
        <f>IF(OR($H$3&lt;=0.0075,$H$3="",down_payment&lt;=0),"N/A",IRR(($D$4:D12,E13),))</f>
        <v>2.4276334074500489E-2</v>
      </c>
      <c r="N13" s="288">
        <f>IF(OR($H$3&lt;=0.0075,$H$3="",down_payment&lt;=0),"N/A",IRR(($D$4:D12,F13),))</f>
        <v>1.7812319274160122E-2</v>
      </c>
      <c r="O13" s="288">
        <f>IF(OR($H$3&lt;=0.0075,$H$3="",down_payment&lt;=0),"N/A",IRR(($D$4:D12,G13),))</f>
        <v>1.144882531620188E-2</v>
      </c>
      <c r="P13" s="303">
        <f>IF(OR($H$3&lt;=0.0075,$H$3="",down_payment&lt;=0),"N/A",IRR(($D$4:D12,H13),))</f>
        <v>5.173401081955944E-3</v>
      </c>
      <c r="Q13" s="288">
        <f>IF(OR($H$3&lt;=0.0075,$H$3="",down_payment&lt;=0),"N/A",IRR(($D$4:D12,I13),))</f>
        <v>-1.0256359925671686E-3</v>
      </c>
      <c r="R13" s="288">
        <f>IF(OR($H$3&lt;=0.0075,$H$3="",down_payment&lt;=0),"N/A",IRR(($D$4:D12,J13),))</f>
        <v>-7.1593357342048351E-3</v>
      </c>
      <c r="S13" s="288">
        <f>IF(OR($H$3&lt;=0.0075,$H$3="",down_payment&lt;=0),"N/A",IRR(($D$4:D12,K13),))</f>
        <v>-1.3238236418135943E-2</v>
      </c>
      <c r="T13" s="233"/>
      <c r="U13" s="304">
        <f t="shared" si="4"/>
        <v>0.33353881587436152</v>
      </c>
      <c r="V13" s="304">
        <f t="shared" si="5"/>
        <v>0.23598282969293427</v>
      </c>
      <c r="W13" s="304">
        <f t="shared" si="6"/>
        <v>0.14637570142414358</v>
      </c>
      <c r="X13" s="305">
        <f t="shared" si="7"/>
        <v>6.3878061199519331E-2</v>
      </c>
      <c r="Y13" s="304">
        <f t="shared" si="8"/>
        <v>-1.2238441394685884E-2</v>
      </c>
      <c r="Z13" s="304">
        <f t="shared" si="9"/>
        <v>-8.2608572407437464E-2</v>
      </c>
      <c r="AA13" s="304">
        <f t="shared" si="10"/>
        <v>-0.14778779444766421</v>
      </c>
      <c r="AB13" s="103"/>
      <c r="AC13" s="149">
        <f>SUM(Model_Mthly!$Q13,-IF(AND(leveraged_property,B13&lt;=amort_period),-PMT(AC$3/12,amort_period,loan_amount),0))</f>
        <v>98403.50303220388</v>
      </c>
      <c r="AD13" s="149">
        <f>AD12+IF(AND(leveraged_property,$B13&lt;=amort_period),PPMT(AD$3/12,$B13,amort_period,loan_amount),0)</f>
        <v>9390709.9954386316</v>
      </c>
      <c r="AE13" s="149">
        <f ca="1">SUM(AC13,Model_Mthly!$AA13,-AD13)</f>
        <v>11054363.707593568</v>
      </c>
      <c r="AF13" s="149">
        <f>SUM(Model_Mthly!$Q13,-IF(AND(leveraged_property,B13&lt;=amort_period),-PMT(AF$3/12,amort_period,loan_amount),0))</f>
        <v>96961.945813846876</v>
      </c>
      <c r="AG13" s="149">
        <f>AG12+IF(AND(leveraged_property,$B13&lt;=amort_period),PPMT(AG$3/12,$B13,amort_period,loan_amount),0)</f>
        <v>9395538.5532536563</v>
      </c>
      <c r="AH13" s="149">
        <f ca="1">SUM(AF13,Model_Mthly!$AA13,-AG13)</f>
        <v>11048093.592560185</v>
      </c>
      <c r="AI13" s="149">
        <f>SUM(Model_Mthly!$Q13,-IF(AND(leveraged_property,B13&lt;=amort_period),-PMT(AI$3/12,amort_period,loan_amount),0))</f>
        <v>95500.648296520172</v>
      </c>
      <c r="AJ13" s="149">
        <f>AJ12+IF(AND(leveraged_property,$B13&lt;=amort_period),PPMT(AJ$3/12,$B13,amort_period,loan_amount),0)</f>
        <v>9400194.4449508954</v>
      </c>
      <c r="AK13" s="149">
        <f ca="1">SUM(AI13,Model_Mthly!$AA13,-AJ13)</f>
        <v>11041976.40334562</v>
      </c>
      <c r="AL13" s="229">
        <f>SUM(Model_Mthly!$Q13,-IF(AND(leveraged_property,B13&lt;=amort_period),-PMT(AL$3/12,amort_period,loan_amount),0))</f>
        <v>94020.044872034778</v>
      </c>
      <c r="AM13" s="229">
        <f>AM12+IF(AND(leveraged_property,$B13&lt;=amort_period),PPMT(AM$3/12,$B13,amort_period,loan_amount),0)</f>
        <v>9404681.210878795</v>
      </c>
      <c r="AN13" s="229">
        <f ca="1">SUM(AL13,Model_Mthly!$AA13,-AM13)</f>
        <v>11036009.033993235</v>
      </c>
      <c r="AO13" s="149">
        <f>SUM(Model_Mthly!$Q13,-IF(AND(leveraged_property,B13&lt;=amort_period),-PMT(AO$3/12,amort_period,loan_amount),0))</f>
        <v>92520.578637862578</v>
      </c>
      <c r="AP13" s="162">
        <f>AP12+IF(AND(leveraged_property,$B13&lt;=amort_period),PPMT(AP$3/12,$B13,amort_period,loan_amount),0)</f>
        <v>9409002.4837085176</v>
      </c>
      <c r="AQ13" s="149">
        <f ca="1">SUM(AO13,Model_Mthly!$AA13,-AP13)</f>
        <v>11030188.294929339</v>
      </c>
      <c r="AR13" s="149">
        <f>SUM(Model_Mthly!$Q13,-IF(AND(leveraged_property,B13&lt;=amort_period),-PMT(AR$3/12,amort_period,loan_amount),0))</f>
        <v>91002.700110487902</v>
      </c>
      <c r="AS13" s="162">
        <f>AS12+IF(AND(leveraged_property,$B13&lt;=amort_period),PPMT(AS$3/12,$B13,amort_period,loan_amount),0)</f>
        <v>9413161.9769847859</v>
      </c>
      <c r="AT13" s="149">
        <f ca="1">SUM(AR13,Model_Mthly!$AA13,-AS13)</f>
        <v>11024510.923125697</v>
      </c>
      <c r="AU13" s="149">
        <f>SUM(Model_Mthly!$Q13,-IF(AND(leveraged_property,B13&lt;=amort_period),-PMT(AU$3/12,amort_period,loan_amount),0))</f>
        <v>89466.865959492614</v>
      </c>
      <c r="AV13" s="162">
        <f>AV12+IF(AND(leveraged_property,$B13&lt;=amort_period),PPMT(AV$3/12,$B13,amort_period,loan_amount),0)</f>
        <v>9417163.4738090411</v>
      </c>
      <c r="AW13" s="149">
        <f ca="1">SUM(AU13,Model_Mthly!$AA13,-AV13)</f>
        <v>11018973.592150446</v>
      </c>
      <c r="AX13" s="103"/>
      <c r="AY13" s="288">
        <f ca="1">IF(AND(leveraged_property,down_payment&gt;0),IRR(($AC$4:AC12,AE13),),"N/A")</f>
        <v>5.7050971673394228E-3</v>
      </c>
      <c r="AZ13" s="288">
        <f ca="1">IF(AND(leveraged_property,down_payment&gt;0),IRR(($AF$4:AF12,AH13),),"N/A")</f>
        <v>5.5280173997665234E-3</v>
      </c>
      <c r="BA13" s="288">
        <f ca="1">IF(AND(leveraged_property,down_payment&gt;0),IRR(($AI$4:AI12,AK13),),"N/A")</f>
        <v>5.3507827421144811E-3</v>
      </c>
      <c r="BB13" s="303">
        <f ca="1">IF(AND(leveraged_property,down_payment&gt;0),IRR(($AL$4:AL12,AN13),),"N/A")</f>
        <v>5.173401081955944E-3</v>
      </c>
      <c r="BC13" s="288">
        <f ca="1">IF(AND(leveraged_property,down_payment&gt;0),IRR(($AO$4:AO12,AQ13),),"N/A")</f>
        <v>4.9958801022229648E-3</v>
      </c>
      <c r="BD13" s="288">
        <f ca="1">IF(AND(leveraged_property,down_payment&gt;0),IRR(($AR$4:AR12,AT13),),"N/A")</f>
        <v>4.8182272734691072E-3</v>
      </c>
      <c r="BE13" s="288">
        <f ca="1">IF(AND(leveraged_property,down_payment&gt;0),IRR(($AU$4:AU12,AW13),),"N/A")</f>
        <v>4.6404498471999556E-3</v>
      </c>
      <c r="BF13" s="103"/>
      <c r="BG13" s="290">
        <f ca="1">IF(AND(leveraged_property,down_payment&gt;0),((1+AY13)^12)-1,"N/A")</f>
        <v>7.0650723902260903E-2</v>
      </c>
      <c r="BH13" s="290">
        <f ca="1">IF(AND(leveraged_property,down_payment&gt;0),((1+AZ13)^12)-1,"N/A")</f>
        <v>6.839073233077464E-2</v>
      </c>
      <c r="BI13" s="290">
        <f ca="1">IF(AND(leveraged_property,down_payment&gt;0),((1+BA13)^12)-1,"N/A")</f>
        <v>6.6133143450154419E-2</v>
      </c>
      <c r="BJ13" s="305">
        <f ca="1">IF(AND(leveraged_property,down_payment&gt;0),((1+BB13)^12)-1,"N/A")</f>
        <v>6.3878061199519331E-2</v>
      </c>
      <c r="BK13" s="290">
        <f ca="1">IF(AND(leveraged_property,down_payment&gt;0),((1+BC13)^12)-1,"N/A")</f>
        <v>6.1625586127914245E-2</v>
      </c>
      <c r="BL13" s="290">
        <f ca="1">IF(AND(leveraged_property,down_payment&gt;0),((1+BD13)^12)-1,"N/A")</f>
        <v>5.9375815323484238E-2</v>
      </c>
      <c r="BM13" s="290">
        <f ca="1">IF(AND(leveraged_property,down_payment&gt;0),((1+BE13)^12)-1,"N/A")</f>
        <v>5.7128842357282217E-2</v>
      </c>
    </row>
    <row r="14" spans="1:65">
      <c r="A14" s="137">
        <f>Model_Mthly!A14</f>
        <v>40466</v>
      </c>
      <c r="B14" s="138">
        <f>Model_Mthly!B14</f>
        <v>10</v>
      </c>
      <c r="C14" s="223"/>
      <c r="D14" s="139">
        <f>Model_Mthly!AQ14</f>
        <v>94020.044872034778</v>
      </c>
      <c r="E14" s="231">
        <f>IF(OR($H$3&lt;=0.0075,$H$3=""),0,SUM(Model_Mthly!AQ14,(SUM(Model_Mthly!Q15:Q26)/$E$3)*(1-cost_of_sale),-Model_Mthly!V14))</f>
        <v>13151296.427824216</v>
      </c>
      <c r="F14" s="231">
        <f>IF(OR($H$3&lt;=0.0075,$H$3=""),0,SUM(Model_Mthly!AQ14,(SUM(Model_Mthly!Q15:Q26)/$F$3)*(1-cost_of_sale),-Model_Mthly!V14))</f>
        <v>12402925.68023801</v>
      </c>
      <c r="G14" s="231">
        <f>IF(OR($H$3&lt;=0.0075,$H$3=""),0,SUM(Model_Mthly!AQ14,(SUM(Model_Mthly!Q15:Q26)/$G$3)*(1-cost_of_sale),-Model_Mthly!V14))</f>
        <v>11702836.916367041</v>
      </c>
      <c r="H14" s="232">
        <f>IF(OR($H$3&lt;=0.0075,$H$3=""),0,SUM(Model_Mthly!AQ14,(SUM(Model_Mthly!Q15:Q26)/$H$3)*(1-cost_of_sale),-Model_Mthly!V14))</f>
        <v>11046503.700238006</v>
      </c>
      <c r="I14" s="231">
        <f>IF(OR($H$3&lt;=0.0075,$H$3=""),0,SUM(Model_Mthly!AQ14,(SUM(Model_Mthly!Q15:Q26)/$I$3)*(1-cost_of_sale),-Model_Mthly!V14))</f>
        <v>10429948.254783461</v>
      </c>
      <c r="J14" s="231">
        <f>IF(OR($H$3&lt;=0.0075,$H$3=""),0,SUM(Model_Mthly!AQ14,(SUM(Model_Mthly!Q15:Q26)/$J$3)*(1-cost_of_sale),-Model_Mthly!V14))</f>
        <v>9849660.7767085936</v>
      </c>
      <c r="K14" s="231">
        <f>IF(OR($H$3&lt;=0.0075,$H$3=""),0,SUM(Model_Mthly!AQ14,(SUM(Model_Mthly!Q15:Q26)/$K$3)*(1-cost_of_sale),-Model_Mthly!V14))</f>
        <v>9302532.5830951501</v>
      </c>
      <c r="L14" s="160"/>
      <c r="M14" s="302">
        <f>IF(OR($H$3&lt;=0.0075,$H$3="",down_payment&lt;=0),"N/A",IRR(($D$4:D13,E14),))</f>
        <v>2.2689400739262663E-2</v>
      </c>
      <c r="N14" s="288">
        <f>IF(OR($H$3&lt;=0.0075,$H$3="",down_payment&lt;=0),"N/A",IRR(($D$4:D13,F14),))</f>
        <v>1.6907519738169605E-2</v>
      </c>
      <c r="O14" s="288">
        <f>IF(OR($H$3&lt;=0.0075,$H$3="",down_payment&lt;=0),"N/A",IRR(($D$4:D13,G14),))</f>
        <v>1.1213018449871305E-2</v>
      </c>
      <c r="P14" s="303">
        <f>IF(OR($H$3&lt;=0.0075,$H$3="",down_payment&lt;=0),"N/A",IRR(($D$4:D13,H14),))</f>
        <v>5.5949008629328284E-3</v>
      </c>
      <c r="Q14" s="288">
        <f>IF(OR($H$3&lt;=0.0075,$H$3="",down_payment&lt;=0),"N/A",IRR(($D$4:D13,I14),))</f>
        <v>4.2839260620228551E-5</v>
      </c>
      <c r="R14" s="288">
        <f>IF(OR($H$3&lt;=0.0075,$H$3="",down_payment&lt;=0),"N/A",IRR(($D$4:D13,J14),))</f>
        <v>-5.452944854455518E-3</v>
      </c>
      <c r="S14" s="288">
        <f>IF(OR($H$3&lt;=0.0075,$H$3="",down_payment&lt;=0),"N/A",IRR(($D$4:D13,K14),))</f>
        <v>-1.0901787128898577E-2</v>
      </c>
      <c r="T14" s="233"/>
      <c r="U14" s="304">
        <f t="shared" si="4"/>
        <v>0.30895603196502419</v>
      </c>
      <c r="V14" s="304">
        <f t="shared" si="5"/>
        <v>0.22286215848006785</v>
      </c>
      <c r="W14" s="304">
        <f t="shared" si="6"/>
        <v>0.14317264971946542</v>
      </c>
      <c r="X14" s="305">
        <f t="shared" si="7"/>
        <v>6.9243822272677891E-2</v>
      </c>
      <c r="Y14" s="304">
        <f t="shared" si="8"/>
        <v>5.1419226808868679E-4</v>
      </c>
      <c r="Z14" s="304">
        <f t="shared" si="9"/>
        <v>-6.3508091352908247E-2</v>
      </c>
      <c r="AA14" s="304">
        <f t="shared" si="10"/>
        <v>-0.1232555890645084</v>
      </c>
      <c r="AB14" s="103"/>
      <c r="AC14" s="149">
        <f>SUM(Model_Mthly!$Q14,-IF(AND(leveraged_property,B14&lt;=amort_period),-PMT(AC$3/12,amort_period,loan_amount),0))</f>
        <v>98403.50303220388</v>
      </c>
      <c r="AD14" s="149">
        <f>AD13+IF(AND(leveraged_property,$B14&lt;=amort_period),PPMT(AD$3/12,$B14,amort_period,loan_amount),0)</f>
        <v>9378325.0588694476</v>
      </c>
      <c r="AE14" s="149">
        <f ca="1">SUM(AC14,Model_Mthly!$AA14,-AD14)</f>
        <v>11066408.144162752</v>
      </c>
      <c r="AF14" s="149">
        <f>SUM(Model_Mthly!$Q14,-IF(AND(leveraged_property,B14&lt;=amort_period),-PMT(AF$3/12,amort_period,loan_amount),0))</f>
        <v>96961.945813846876</v>
      </c>
      <c r="AG14" s="149">
        <f>AG13+IF(AND(leveraged_property,$B14&lt;=amort_period),PPMT(AG$3/12,$B14,amort_period,loan_amount),0)</f>
        <v>9383688.5763727259</v>
      </c>
      <c r="AH14" s="149">
        <f ca="1">SUM(AF14,Model_Mthly!$AA14,-AG14)</f>
        <v>11059603.069441115</v>
      </c>
      <c r="AI14" s="149">
        <f>SUM(Model_Mthly!$Q14,-IF(AND(leveraged_property,B14&lt;=amort_period),-PMT(AI$3/12,amort_period,loan_amount),0))</f>
        <v>95500.648296520172</v>
      </c>
      <c r="AJ14" s="149">
        <f>AJ13+IF(AND(leveraged_property,$B14&lt;=amort_period),PPMT(AJ$3/12,$B14,amort_period,loan_amount),0)</f>
        <v>9388860.9439440761</v>
      </c>
      <c r="AK14" s="149">
        <f ca="1">SUM(AI14,Model_Mthly!$AA14,-AJ14)</f>
        <v>11052969.40435244</v>
      </c>
      <c r="AL14" s="229">
        <f>SUM(Model_Mthly!$Q14,-IF(AND(leveraged_property,B14&lt;=amort_period),-PMT(AL$3/12,amort_period,loan_amount),0))</f>
        <v>94020.044872034778</v>
      </c>
      <c r="AM14" s="229">
        <f>AM13+IF(AND(leveraged_property,$B14&lt;=amort_period),PPMT(AM$3/12,$B14,amort_period,loan_amount),0)</f>
        <v>9393846.0446340237</v>
      </c>
      <c r="AN14" s="229">
        <f ca="1">SUM(AL14,Model_Mthly!$AA14,-AM14)</f>
        <v>11046503.700238006</v>
      </c>
      <c r="AO14" s="149">
        <f>SUM(Model_Mthly!$Q14,-IF(AND(leveraged_property,B14&lt;=amort_period),-PMT(AO$3/12,amort_period,loan_amount),0))</f>
        <v>92520.578637862578</v>
      </c>
      <c r="AP14" s="162">
        <f>AP13+IF(AND(leveraged_property,$B14&lt;=amort_period),PPMT(AP$3/12,$B14,amort_period,loan_amount),0)</f>
        <v>9398647.8659141511</v>
      </c>
      <c r="AQ14" s="149">
        <f ca="1">SUM(AO14,Model_Mthly!$AA14,-AP14)</f>
        <v>11040202.412723705</v>
      </c>
      <c r="AR14" s="149">
        <f>SUM(Model_Mthly!$Q14,-IF(AND(leveraged_property,B14&lt;=amort_period),-PMT(AR$3/12,amort_period,loan_amount),0))</f>
        <v>91002.700110487902</v>
      </c>
      <c r="AS14" s="162">
        <f>AS13+IF(AND(leveraged_property,$B14&lt;=amort_period),PPMT(AS$3/12,$B14,amort_period,loan_amount),0)</f>
        <v>9403270.486980198</v>
      </c>
      <c r="AT14" s="149">
        <f ca="1">SUM(AR14,Model_Mthly!$AA14,-AS14)</f>
        <v>11034061.913130285</v>
      </c>
      <c r="AU14" s="149">
        <f>SUM(Model_Mthly!$Q14,-IF(AND(leveraged_property,B14&lt;=amort_period),-PMT(AU$3/12,amort_period,loan_amount),0))</f>
        <v>89466.865959492614</v>
      </c>
      <c r="AV14" s="162">
        <f>AV13+IF(AND(leveraged_property,$B14&lt;=amort_period),PPMT(AV$3/12,$B14,amort_period,loan_amount),0)</f>
        <v>9407718.0661946218</v>
      </c>
      <c r="AW14" s="149">
        <f ca="1">SUM(AU14,Model_Mthly!$AA14,-AV14)</f>
        <v>11028078.499764865</v>
      </c>
      <c r="AX14" s="103"/>
      <c r="AY14" s="288">
        <f ca="1">IF(AND(leveraged_property,down_payment&gt;0),IRR(($AC$4:AC13,AE14),),"N/A")</f>
        <v>6.1256319533479929E-3</v>
      </c>
      <c r="AZ14" s="288">
        <f ca="1">IF(AND(leveraged_property,down_payment&gt;0),IRR(($AF$4:AF13,AH14),),"N/A")</f>
        <v>5.9488953645949532E-3</v>
      </c>
      <c r="BA14" s="288">
        <f ca="1">IF(AND(leveraged_property,down_payment&gt;0),IRR(($AI$4:AI13,AK14),),"N/A")</f>
        <v>5.7719820472587387E-3</v>
      </c>
      <c r="BB14" s="303">
        <f ca="1">IF(AND(leveraged_property,down_payment&gt;0),IRR(($AL$4:AL13,AN14),),"N/A")</f>
        <v>5.5949008629328284E-3</v>
      </c>
      <c r="BC14" s="288">
        <f ca="1">IF(AND(leveraged_property,down_payment&gt;0),IRR(($AO$4:AO13,AQ14),),"N/A")</f>
        <v>5.4176604501465185E-3</v>
      </c>
      <c r="BD14" s="288">
        <f ca="1">IF(AND(leveraged_property,down_payment&gt;0),IRR(($AR$4:AR13,AT14),),"N/A")</f>
        <v>5.2402692152389305E-3</v>
      </c>
      <c r="BE14" s="288">
        <f ca="1">IF(AND(leveraged_property,down_payment&gt;0),IRR(($AU$4:AU13,AW14),),"N/A")</f>
        <v>5.0627353244291776E-3</v>
      </c>
      <c r="BF14" s="103"/>
      <c r="BG14" s="290">
        <f ca="1">IF(AND(leveraged_property,down_payment&gt;0),((1+AY14)^12)-1,"N/A")</f>
        <v>7.6035397445997521E-2</v>
      </c>
      <c r="BH14" s="290">
        <f ca="1">IF(AND(leveraged_property,down_payment&gt;0),((1+AZ14)^12)-1,"N/A")</f>
        <v>7.3769383824931145E-2</v>
      </c>
      <c r="BI14" s="290">
        <f ca="1">IF(AND(leveraged_property,down_payment&gt;0),((1+BA14)^12)-1,"N/A")</f>
        <v>7.1505485936348645E-2</v>
      </c>
      <c r="BJ14" s="305">
        <f ca="1">IF(AND(leveraged_property,down_payment&gt;0),((1+BB14)^12)-1,"N/A")</f>
        <v>6.9243822272677891E-2</v>
      </c>
      <c r="BK14" s="290">
        <f ca="1">IF(AND(leveraged_property,down_payment&gt;0),((1+BC14)^12)-1,"N/A")</f>
        <v>6.6984507588625952E-2</v>
      </c>
      <c r="BL14" s="290">
        <f ca="1">IF(AND(leveraged_property,down_payment&gt;0),((1+BD14)^12)-1,"N/A")</f>
        <v>6.4727652814550174E-2</v>
      </c>
      <c r="BM14" s="290">
        <f ca="1">IF(AND(leveraged_property,down_payment&gt;0),((1+BE14)^12)-1,"N/A")</f>
        <v>6.2473364986422641E-2</v>
      </c>
    </row>
    <row r="15" spans="1:65">
      <c r="A15" s="137">
        <f>Model_Mthly!A15</f>
        <v>40497</v>
      </c>
      <c r="B15" s="138">
        <f>Model_Mthly!B15</f>
        <v>11</v>
      </c>
      <c r="C15" s="223"/>
      <c r="D15" s="139">
        <f>Model_Mthly!AQ15</f>
        <v>94020.044872034778</v>
      </c>
      <c r="E15" s="231">
        <f>IF(OR($H$3&lt;=0.0075,$H$3=""),0,SUM(Model_Mthly!AQ15,(SUM(Model_Mthly!Q16:Q27)/$E$3)*(1-cost_of_sale),-Model_Mthly!V15))</f>
        <v>13161805.531109679</v>
      </c>
      <c r="F15" s="231">
        <f>IF(OR($H$3&lt;=0.0075,$H$3=""),0,SUM(Model_Mthly!AQ15,(SUM(Model_Mthly!Q16:Q27)/$F$3)*(1-cost_of_sale),-Model_Mthly!V15))</f>
        <v>12413447.307661403</v>
      </c>
      <c r="G15" s="231">
        <f>IF(OR($H$3&lt;=0.0075,$H$3=""),0,SUM(Model_Mthly!AQ15,(SUM(Model_Mthly!Q16:Q27)/$G$3)*(1-cost_of_sale),-Model_Mthly!V15))</f>
        <v>11713370.259919468</v>
      </c>
      <c r="H15" s="232">
        <f>IF(OR($H$3&lt;=0.0075,$H$3=""),0,SUM(Model_Mthly!AQ15,(SUM(Model_Mthly!Q16:Q27)/$H$3)*(1-cost_of_sale),-Model_Mthly!V15))</f>
        <v>11057048.027661402</v>
      </c>
      <c r="I15" s="231">
        <f>IF(OR($H$3&lt;=0.0075,$H$3=""),0,SUM(Model_Mthly!AQ15,(SUM(Model_Mthly!Q16:Q27)/$I$3)*(1-cost_of_sale),-Model_Mthly!V15))</f>
        <v>10440502.900388673</v>
      </c>
      <c r="J15" s="231">
        <f>IF(OR($H$3&lt;=0.0075,$H$3=""),0,SUM(Model_Mthly!AQ15,(SUM(Model_Mthly!Q16:Q27)/$J$3)*(1-cost_of_sale),-Model_Mthly!V15))</f>
        <v>9860225.1335437559</v>
      </c>
      <c r="K15" s="231">
        <f>IF(OR($H$3&lt;=0.0075,$H$3=""),0,SUM(Model_Mthly!AQ15,(SUM(Model_Mthly!Q16:Q27)/$K$3)*(1-cost_of_sale),-Model_Mthly!V15))</f>
        <v>9313106.0962328315</v>
      </c>
      <c r="L15" s="160"/>
      <c r="M15" s="302">
        <f>IF(OR($H$3&lt;=0.0075,$H$3="",down_payment&lt;=0),"N/A",IRR(($D$4:D14,E15),))</f>
        <v>2.1393229208391405E-2</v>
      </c>
      <c r="N15" s="288">
        <f>IF(OR($H$3&lt;=0.0075,$H$3="",down_payment&lt;=0),"N/A",IRR(($D$4:D14,F15),))</f>
        <v>1.6167921243963556E-2</v>
      </c>
      <c r="O15" s="288">
        <f>IF(OR($H$3&lt;=0.0075,$H$3="",down_payment&lt;=0),"N/A",IRR(($D$4:D14,G15),))</f>
        <v>1.1019890400450573E-2</v>
      </c>
      <c r="P15" s="303">
        <f>IF(OR($H$3&lt;=0.0075,$H$3="",down_payment&lt;=0),"N/A",IRR(($D$4:D14,H15),))</f>
        <v>5.9393039470931894E-3</v>
      </c>
      <c r="Q15" s="288">
        <f>IF(OR($H$3&lt;=0.0075,$H$3="",down_payment&lt;=0),"N/A",IRR(($D$4:D14,I15),))</f>
        <v>9.1692038319324579E-4</v>
      </c>
      <c r="R15" s="288">
        <f>IF(OR($H$3&lt;=0.0075,$H$3="",down_payment&lt;=0),"N/A",IRR(($D$4:D14,J15),))</f>
        <v>-4.0560163952398443E-3</v>
      </c>
      <c r="S15" s="288">
        <f>IF(OR($H$3&lt;=0.0075,$H$3="",down_payment&lt;=0),"N/A",IRR(($D$4:D14,K15),))</f>
        <v>-8.987871697248611E-3</v>
      </c>
      <c r="T15" s="233"/>
      <c r="U15" s="304">
        <f t="shared" si="4"/>
        <v>0.28918634017924161</v>
      </c>
      <c r="V15" s="304">
        <f t="shared" si="5"/>
        <v>0.21223207188942328</v>
      </c>
      <c r="W15" s="304">
        <f t="shared" si="6"/>
        <v>0.14055543333607701</v>
      </c>
      <c r="X15" s="305">
        <f t="shared" si="7"/>
        <v>7.3646533484056143E-2</v>
      </c>
      <c r="Y15" s="304">
        <f t="shared" si="8"/>
        <v>1.1058703582769613E-2</v>
      </c>
      <c r="Z15" s="304">
        <f t="shared" si="9"/>
        <v>-4.7600959741076254E-2</v>
      </c>
      <c r="AA15" s="304">
        <f t="shared" si="10"/>
        <v>-0.10267940732168568</v>
      </c>
      <c r="AB15" s="103"/>
      <c r="AC15" s="149">
        <f>SUM(Model_Mthly!$Q15,-IF(AND(leveraged_property,B15&lt;=amort_period),-PMT(AC$3/12,amort_period,loan_amount),0))</f>
        <v>98403.50303220388</v>
      </c>
      <c r="AD15" s="149">
        <f>AD14+IF(AND(leveraged_property,$B15&lt;=amort_period),PPMT(AD$3/12,$B15,amort_period,loan_amount),0)</f>
        <v>9365891.0985930096</v>
      </c>
      <c r="AE15" s="149">
        <f ca="1">SUM(AC15,Model_Mthly!$AA15,-AD15)</f>
        <v>11078501.604439193</v>
      </c>
      <c r="AF15" s="149">
        <f>SUM(Model_Mthly!$Q15,-IF(AND(leveraged_property,B15&lt;=amort_period),-PMT(AF$3/12,amort_period,loan_amount),0))</f>
        <v>96961.945813846876</v>
      </c>
      <c r="AG15" s="149">
        <f>AG14+IF(AND(leveraged_property,$B15&lt;=amort_period),PPMT(AG$3/12,$B15,amort_period,loan_amount),0)</f>
        <v>9371789.2245881259</v>
      </c>
      <c r="AH15" s="149">
        <f ca="1">SUM(AF15,Model_Mthly!$AA15,-AG15)</f>
        <v>11071161.921225719</v>
      </c>
      <c r="AI15" s="149">
        <f>SUM(Model_Mthly!$Q15,-IF(AND(leveraged_property,B15&lt;=amort_period),-PMT(AI$3/12,amort_period,loan_amount),0))</f>
        <v>95500.648296520172</v>
      </c>
      <c r="AJ15" s="149">
        <f>AJ14+IF(AND(leveraged_property,$B15&lt;=amort_period),PPMT(AJ$3/12,$B15,amort_period,loan_amount),0)</f>
        <v>9377477.8588703517</v>
      </c>
      <c r="AK15" s="149">
        <f ca="1">SUM(AI15,Model_Mthly!$AA15,-AJ15)</f>
        <v>11064011.989426168</v>
      </c>
      <c r="AL15" s="229">
        <f>SUM(Model_Mthly!$Q15,-IF(AND(leveraged_property,B15&lt;=amort_period),-PMT(AL$3/12,amort_period,loan_amount),0))</f>
        <v>94020.044872034778</v>
      </c>
      <c r="AM15" s="229">
        <f>AM14+IF(AND(leveraged_property,$B15&lt;=amort_period),PPMT(AM$3/12,$B15,amort_period,loan_amount),0)</f>
        <v>9382961.2172106318</v>
      </c>
      <c r="AN15" s="229">
        <f ca="1">SUM(AL15,Model_Mthly!$AA15,-AM15)</f>
        <v>11057048.027661402</v>
      </c>
      <c r="AO15" s="149">
        <f>SUM(Model_Mthly!$Q15,-IF(AND(leveraged_property,B15&lt;=amort_period),-PMT(AO$3/12,amort_period,loan_amount),0))</f>
        <v>92520.578637862578</v>
      </c>
      <c r="AP15" s="162">
        <f>AP14+IF(AND(leveraged_property,$B15&lt;=amort_period),PPMT(AP$3/12,$B15,amort_period,loan_amount),0)</f>
        <v>9388243.6322428528</v>
      </c>
      <c r="AQ15" s="149">
        <f ca="1">SUM(AO15,Model_Mthly!$AA15,-AP15)</f>
        <v>11050266.146395011</v>
      </c>
      <c r="AR15" s="149">
        <f>SUM(Model_Mthly!$Q15,-IF(AND(leveraged_property,B15&lt;=amort_period),-PMT(AR$3/12,amort_period,loan_amount),0))</f>
        <v>91002.700110487902</v>
      </c>
      <c r="AS15" s="162">
        <f>AS14+IF(AND(leveraged_property,$B15&lt;=amort_period),PPMT(AS$3/12,$B15,amort_period,loan_amount),0)</f>
        <v>9393329.5395255871</v>
      </c>
      <c r="AT15" s="149">
        <f ca="1">SUM(AR15,Model_Mthly!$AA15,-AS15)</f>
        <v>11043662.3605849</v>
      </c>
      <c r="AU15" s="149">
        <f>SUM(Model_Mthly!$Q15,-IF(AND(leveraged_property,B15&lt;=amort_period),-PMT(AU$3/12,amort_period,loan_amount),0))</f>
        <v>89466.865959492614</v>
      </c>
      <c r="AV15" s="162">
        <f>AV14+IF(AND(leveraged_property,$B15&lt;=amort_period),PPMT(AV$3/12,$B15,amort_period,loan_amount),0)</f>
        <v>9398223.4637488779</v>
      </c>
      <c r="AW15" s="149">
        <f ca="1">SUM(AU15,Model_Mthly!$AA15,-AV15)</f>
        <v>11037232.602210613</v>
      </c>
      <c r="AX15" s="103"/>
      <c r="AY15" s="288">
        <f ca="1">IF(AND(leveraged_property,down_payment&gt;0),IRR(($AC$4:AC14,AE15),),"N/A")</f>
        <v>6.4690724081066945E-3</v>
      </c>
      <c r="AZ15" s="288">
        <f ca="1">IF(AND(leveraged_property,down_payment&gt;0),IRR(($AF$4:AF14,AH15),),"N/A")</f>
        <v>6.2926780890141185E-3</v>
      </c>
      <c r="BA15" s="288">
        <f ca="1">IF(AND(leveraged_property,down_payment&gt;0),IRR(($AI$4:AI14,AK15),),"N/A")</f>
        <v>6.1160853291967882E-3</v>
      </c>
      <c r="BB15" s="303">
        <f ca="1">IF(AND(leveraged_property,down_payment&gt;0),IRR(($AL$4:AL14,AN15),),"N/A")</f>
        <v>5.9393039470931894E-3</v>
      </c>
      <c r="BC15" s="288">
        <f ca="1">IF(AND(leveraged_property,down_payment&gt;0),IRR(($AO$4:AO14,AQ15),),"N/A")</f>
        <v>5.7623435208447914E-3</v>
      </c>
      <c r="BD15" s="288">
        <f ca="1">IF(AND(leveraged_property,down_payment&gt;0),IRR(($AR$4:AR14,AT15),),"N/A")</f>
        <v>5.5852133777402049E-3</v>
      </c>
      <c r="BE15" s="288">
        <f ca="1">IF(AND(leveraged_property,down_payment&gt;0),IRR(($AU$4:AU14,AW15),),"N/A")</f>
        <v>5.4079225849856128E-3</v>
      </c>
      <c r="BF15" s="103"/>
      <c r="BG15" s="290">
        <f ca="1">IF(AND(leveraged_property,down_payment&gt;0),((1+AY15)^12)-1,"N/A")</f>
        <v>8.0451331284054683E-2</v>
      </c>
      <c r="BH15" s="290">
        <f ca="1">IF(AND(leveraged_property,down_payment&gt;0),((1+AZ15)^12)-1,"N/A")</f>
        <v>7.818119449278238E-2</v>
      </c>
      <c r="BI15" s="290">
        <f ca="1">IF(AND(leveraged_property,down_payment&gt;0),((1+BA15)^12)-1,"N/A")</f>
        <v>7.5912884283248383E-2</v>
      </c>
      <c r="BJ15" s="305">
        <f ca="1">IF(AND(leveraged_property,down_payment&gt;0),((1+BB15)^12)-1,"N/A")</f>
        <v>7.3646533484056143E-2</v>
      </c>
      <c r="BK15" s="290">
        <f ca="1">IF(AND(leveraged_property,down_payment&gt;0),((1+BC15)^12)-1,"N/A")</f>
        <v>7.1382270856429786E-2</v>
      </c>
      <c r="BL15" s="290">
        <f ca="1">IF(AND(leveraged_property,down_payment&gt;0),((1+BD15)^12)-1,"N/A")</f>
        <v>6.9120220991004899E-2</v>
      </c>
      <c r="BM15" s="290">
        <f ca="1">IF(AND(leveraged_property,down_payment&gt;0),((1+BE15)^12)-1,"N/A")</f>
        <v>6.6860504223134942E-2</v>
      </c>
    </row>
    <row r="16" spans="1:65">
      <c r="A16" s="137">
        <f>Model_Mthly!A16</f>
        <v>40527</v>
      </c>
      <c r="B16" s="138">
        <f>Model_Mthly!B16</f>
        <v>12</v>
      </c>
      <c r="C16" s="223"/>
      <c r="D16" s="183">
        <f>Model_Mthly!AQ16</f>
        <v>94020.044872034778</v>
      </c>
      <c r="E16" s="202">
        <f>IF(OR($H$3&lt;=0.0075,$H$3=""),0,SUM(Model_Mthly!AQ16,(SUM(Model_Mthly!Q17:Q28)/$E$3)*(1-cost_of_sale),-Model_Mthly!V16))</f>
        <v>13172364.523187501</v>
      </c>
      <c r="F16" s="202">
        <f>IF(OR($H$3&lt;=0.0075,$H$3=""),0,SUM(Model_Mthly!AQ16,(SUM(Model_Mthly!Q17:Q28)/$F$3)*(1-cost_of_sale),-Model_Mthly!V16))</f>
        <v>12424018.823877154</v>
      </c>
      <c r="G16" s="202">
        <f>IF(OR($H$3&lt;=0.0075,$H$3=""),0,SUM(Model_Mthly!AQ16,(SUM(Model_Mthly!Q17:Q28)/$G$3)*(1-cost_of_sale),-Model_Mthly!V16))</f>
        <v>11723953.49226425</v>
      </c>
      <c r="H16" s="202">
        <f>IF(OR($H$3&lt;=0.0075,$H$3=""),0,SUM(Model_Mthly!AQ16,(SUM(Model_Mthly!Q17:Q28)/$H$3)*(1-cost_of_sale),-Model_Mthly!V16))</f>
        <v>11067642.243877152</v>
      </c>
      <c r="I16" s="202">
        <f>IF(OR($H$3&lt;=0.0075,$H$3=""),0,SUM(Model_Mthly!AQ16,(SUM(Model_Mthly!Q17:Q28)/$I$3)*(1-cost_of_sale),-Model_Mthly!V16))</f>
        <v>10451107.434786243</v>
      </c>
      <c r="J16" s="202">
        <f>IF(OR($H$3&lt;=0.0075,$H$3=""),0,SUM(Model_Mthly!AQ16,(SUM(Model_Mthly!Q17:Q28)/$J$3)*(1-cost_of_sale),-Model_Mthly!V16))</f>
        <v>9870839.379171269</v>
      </c>
      <c r="K16" s="202">
        <f>IF(OR($H$3&lt;=0.0075,$H$3=""),0,SUM(Model_Mthly!AQ16,(SUM(Model_Mthly!Q17:Q28)/$K$3)*(1-cost_of_sale),-Model_Mthly!V16))</f>
        <v>9323729.4981628638</v>
      </c>
      <c r="L16" s="160"/>
      <c r="M16" s="289">
        <f>IF(OR($H$3&lt;=0.0075,$H$3="",down_payment&lt;=0),"N/A",IRR(($D$4:D15,E16),))</f>
        <v>2.0314589369011905E-2</v>
      </c>
      <c r="N16" s="289">
        <f>IF(OR($H$3&lt;=0.0075,$H$3="",down_payment&lt;=0),"N/A",IRR(($D$4:D15,F16),))</f>
        <v>1.5552015302030792E-2</v>
      </c>
      <c r="O16" s="289">
        <f>IF(OR($H$3&lt;=0.0075,$H$3="",down_payment&lt;=0),"N/A",IRR(($D$4:D15,G16),))</f>
        <v>1.0858743165364164E-2</v>
      </c>
      <c r="P16" s="289">
        <f>IF(OR($H$3&lt;=0.0075,$H$3="",down_payment&lt;=0),"N/A",IRR(($D$4:D15,H16),))</f>
        <v>6.2258914699640597E-3</v>
      </c>
      <c r="Q16" s="289">
        <f>IF(OR($H$3&lt;=0.0075,$H$3="",down_payment&lt;=0),"N/A",IRR(($D$4:D15,I16),))</f>
        <v>1.6451090835542417E-3</v>
      </c>
      <c r="R16" s="289">
        <f>IF(OR($H$3&lt;=0.0075,$H$3="",down_payment&lt;=0),"N/A",IRR(($D$4:D15,J16),))</f>
        <v>-2.8915198712534847E-3</v>
      </c>
      <c r="S16" s="289">
        <f>IF(OR($H$3&lt;=0.0075,$H$3="",down_payment&lt;=0),"N/A",IRR(($D$4:D15,K16),))</f>
        <v>-7.3915610498669392E-3</v>
      </c>
      <c r="T16" s="233"/>
      <c r="U16" s="291">
        <f t="shared" si="4"/>
        <v>0.27294359303544002</v>
      </c>
      <c r="V16" s="291">
        <f t="shared" si="5"/>
        <v>0.20344450419596161</v>
      </c>
      <c r="W16" s="291">
        <f t="shared" si="6"/>
        <v>0.13837581670074361</v>
      </c>
      <c r="X16" s="291">
        <f t="shared" si="7"/>
        <v>7.7322814432739362E-2</v>
      </c>
      <c r="Y16" s="291">
        <f t="shared" si="8"/>
        <v>1.9920913480317104E-2</v>
      </c>
      <c r="Z16" s="291">
        <f t="shared" si="9"/>
        <v>-3.4151704106652692E-2</v>
      </c>
      <c r="AA16" s="291">
        <f t="shared" si="10"/>
        <v>-8.5180195443832263E-2</v>
      </c>
      <c r="AB16" s="103"/>
      <c r="AC16" s="186">
        <f>SUM(Model_Mthly!$Q16,-IF(AND(leveraged_property,B16&lt;=amort_period),-PMT(AC$3/12,amort_period,loan_amount),0))</f>
        <v>98403.50303220388</v>
      </c>
      <c r="AD16" s="186">
        <f>AD15+IF(AND(leveraged_property,$B16&lt;=amort_period),PPMT(AD$3/12,$B16,amort_period,loan_amount),0)</f>
        <v>9353407.920557145</v>
      </c>
      <c r="AE16" s="186">
        <f ca="1">SUM(AC16,Model_Mthly!$AA16,-AD16)</f>
        <v>11090644.282475058</v>
      </c>
      <c r="AF16" s="186">
        <f>SUM(Model_Mthly!$Q16,-IF(AND(leveraged_property,B16&lt;=amort_period),-PMT(AF$3/12,amort_period,loan_amount),0))</f>
        <v>96961.945813846876</v>
      </c>
      <c r="AG16" s="186">
        <f>AG15+IF(AND(leveraged_property,$B16&lt;=amort_period),PPMT(AG$3/12,$B16,amort_period,loan_amount),0)</f>
        <v>9359840.2921710908</v>
      </c>
      <c r="AH16" s="186">
        <f ca="1">SUM(AF16,Model_Mthly!$AA16,-AG16)</f>
        <v>11082770.353642754</v>
      </c>
      <c r="AI16" s="186">
        <f>SUM(Model_Mthly!$Q16,-IF(AND(leveraged_property,B16&lt;=amort_period),-PMT(AI$3/12,amort_period,loan_amount),0))</f>
        <v>95500.648296520172</v>
      </c>
      <c r="AJ16" s="186">
        <f>AJ15+IF(AND(leveraged_property,$B16&lt;=amort_period),PPMT(AJ$3/12,$B16,amort_period,loan_amount),0)</f>
        <v>9366044.9727994297</v>
      </c>
      <c r="AK16" s="186">
        <f ca="1">SUM(AI16,Model_Mthly!$AA16,-AJ16)</f>
        <v>11075104.37549709</v>
      </c>
      <c r="AL16" s="186">
        <f>SUM(Model_Mthly!$Q16,-IF(AND(leveraged_property,B16&lt;=amort_period),-PMT(AL$3/12,amort_period,loan_amount),0))</f>
        <v>94020.044872034778</v>
      </c>
      <c r="AM16" s="186">
        <f>AM15+IF(AND(leveraged_property,$B16&lt;=amort_period),PPMT(AM$3/12,$B16,amort_period,loan_amount),0)</f>
        <v>9372026.5009948816</v>
      </c>
      <c r="AN16" s="186">
        <f ca="1">SUM(AL16,Model_Mthly!$AA16,-AM16)</f>
        <v>11067642.243877152</v>
      </c>
      <c r="AO16" s="186">
        <f>SUM(Model_Mthly!$Q16,-IF(AND(leveraged_property,B16&lt;=amort_period),-PMT(AO$3/12,amort_period,loan_amount),0))</f>
        <v>92520.578637862578</v>
      </c>
      <c r="AP16" s="186">
        <f>AP15+IF(AND(leveraged_property,$B16&lt;=amort_period),PPMT(AP$3/12,$B16,amort_period,loan_amount),0)</f>
        <v>9377789.5449518785</v>
      </c>
      <c r="AQ16" s="186">
        <f ca="1">SUM(AO16,Model_Mthly!$AA16,-AP16)</f>
        <v>11060379.733685985</v>
      </c>
      <c r="AR16" s="186">
        <f>SUM(Model_Mthly!$Q16,-IF(AND(leveraged_property,B16&lt;=amort_period),-PMT(AR$3/12,amort_period,loan_amount),0))</f>
        <v>91002.700110487902</v>
      </c>
      <c r="AS16" s="186">
        <f>AS15+IF(AND(leveraged_property,$B16&lt;=amort_period),PPMT(AS$3/12,$B16,amort_period,loan_amount),0)</f>
        <v>9383338.8873337023</v>
      </c>
      <c r="AT16" s="186">
        <f ca="1">SUM(AR16,Model_Mthly!$AA16,-AS16)</f>
        <v>11053312.512776785</v>
      </c>
      <c r="AU16" s="186">
        <f>SUM(Model_Mthly!$Q16,-IF(AND(leveraged_property,B16&lt;=amort_period),-PMT(AU$3/12,amort_period,loan_amount),0))</f>
        <v>89466.865959492614</v>
      </c>
      <c r="AV16" s="186">
        <f>AV15+IF(AND(leveraged_property,$B16&lt;=amort_period),PPMT(AV$3/12,$B16,amort_period,loan_amount),0)</f>
        <v>9388679.4102487285</v>
      </c>
      <c r="AW16" s="186">
        <f ca="1">SUM(AU16,Model_Mthly!$AA16,-AV16)</f>
        <v>11046436.155710762</v>
      </c>
      <c r="AX16" s="103"/>
      <c r="AY16" s="289">
        <f ca="1">IF(AND(leveraged_property,down_payment&gt;0),IRR(($AC$4:AC15,AE16),),"N/A")</f>
        <v>6.7546998474074769E-3</v>
      </c>
      <c r="AZ16" s="289">
        <f ca="1">IF(AND(leveraged_property,down_payment&gt;0),IRR(($AF$4:AF15,AH16),),"N/A")</f>
        <v>6.5786468109884678E-3</v>
      </c>
      <c r="BA16" s="289">
        <f ca="1">IF(AND(leveraged_property,down_payment&gt;0),IRR(($AI$4:AI15,AK16),),"N/A")</f>
        <v>6.4023737658552987E-3</v>
      </c>
      <c r="BB16" s="289">
        <f ca="1">IF(AND(leveraged_property,down_payment&gt;0),IRR(($AL$4:AL15,AN16),),"N/A")</f>
        <v>6.2258914699640597E-3</v>
      </c>
      <c r="BC16" s="289">
        <f ca="1">IF(AND(leveraged_property,down_payment&gt;0),IRR(($AO$4:AO15,AQ16),),"N/A")</f>
        <v>6.0492104248955503E-3</v>
      </c>
      <c r="BD16" s="289">
        <f ca="1">IF(AND(leveraged_property,down_payment&gt;0),IRR(($AR$4:AR15,AT16),),"N/A")</f>
        <v>5.8723408638322412E-3</v>
      </c>
      <c r="BE16" s="289">
        <f ca="1">IF(AND(leveraged_property,down_payment&gt;0),IRR(($AU$4:AU15,AW16),),"N/A")</f>
        <v>5.6952927409907265E-3</v>
      </c>
      <c r="BF16" s="103"/>
      <c r="BG16" s="291">
        <f ca="1">IF(AND(leveraged_property,down_payment&gt;0),((1+AY16)^12)-1,"N/A")</f>
        <v>8.4136555612859487E-2</v>
      </c>
      <c r="BH16" s="291">
        <f ca="1">IF(AND(leveraged_property,down_payment&gt;0),((1+AZ16)^12)-1,"N/A")</f>
        <v>8.1863723122786558E-2</v>
      </c>
      <c r="BI16" s="291">
        <f ca="1">IF(AND(leveraged_property,down_payment&gt;0),((1+BA16)^12)-1,"N/A")</f>
        <v>7.9592427083570394E-2</v>
      </c>
      <c r="BJ16" s="291">
        <f ca="1">IF(AND(leveraged_property,down_payment&gt;0),((1+BB16)^12)-1,"N/A")</f>
        <v>7.7322814432739362E-2</v>
      </c>
      <c r="BK16" s="291">
        <f ca="1">IF(AND(leveraged_property,down_payment&gt;0),((1+BC16)^12)-1,"N/A")</f>
        <v>7.5055027728417434E-2</v>
      </c>
      <c r="BL16" s="291">
        <f ca="1">IF(AND(leveraged_property,down_payment&gt;0),((1+BD16)^12)-1,"N/A")</f>
        <v>7.2789205028763959E-2</v>
      </c>
      <c r="BM16" s="291">
        <f ca="1">IF(AND(leveraged_property,down_payment&gt;0),((1+BE16)^12)-1,"N/A")</f>
        <v>7.0525479791919254E-2</v>
      </c>
    </row>
    <row r="17" spans="1:65">
      <c r="A17" s="137">
        <f>Model_Mthly!A17</f>
        <v>40558</v>
      </c>
      <c r="B17" s="138">
        <f>Model_Mthly!B17</f>
        <v>13</v>
      </c>
      <c r="C17" s="223"/>
      <c r="D17" s="139">
        <f>Model_Mthly!AQ17</f>
        <v>94006.294872034778</v>
      </c>
      <c r="E17" s="231">
        <f>IF(OR($H$3&lt;=0.0075,$H$3=""),0,SUM(Model_Mthly!AQ17,(SUM(Model_Mthly!Q18:Q29)/$E$3)*(1-cost_of_sale),-Model_Mthly!V17))</f>
        <v>13518269.42754223</v>
      </c>
      <c r="F17" s="231">
        <f>IF(OR($H$3&lt;=0.0075,$H$3=""),0,SUM(Model_Mthly!AQ17,(SUM(Model_Mthly!Q18:Q29)/$F$3)*(1-cost_of_sale),-Model_Mthly!V17))</f>
        <v>12758759.267542226</v>
      </c>
      <c r="G17" s="231">
        <f>IF(OR($H$3&lt;=0.0075,$H$3=""),0,SUM(Model_Mthly!AQ17,(SUM(Model_Mthly!Q18:Q29)/$G$3)*(1-cost_of_sale),-Model_Mthly!V17))</f>
        <v>12048249.763026094</v>
      </c>
      <c r="H17" s="232">
        <f>IF(OR($H$3&lt;=0.0075,$H$3=""),0,SUM(Model_Mthly!AQ17,(SUM(Model_Mthly!Q18:Q29)/$H$3)*(1-cost_of_sale),-Model_Mthly!V17))</f>
        <v>11382147.102542223</v>
      </c>
      <c r="I17" s="231">
        <f>IF(OR($H$3&lt;=0.0075,$H$3=""),0,SUM(Model_Mthly!AQ17,(SUM(Model_Mthly!Q18:Q29)/$I$3)*(1-cost_of_sale),-Model_Mthly!V17))</f>
        <v>10756414.300269498</v>
      </c>
      <c r="J17" s="231">
        <f>IF(OR($H$3&lt;=0.0075,$H$3=""),0,SUM(Model_Mthly!AQ17,(SUM(Model_Mthly!Q18:Q29)/$J$3)*(1-cost_of_sale),-Model_Mthly!V17))</f>
        <v>10167489.309895163</v>
      </c>
      <c r="K17" s="231">
        <f>IF(OR($H$3&lt;=0.0075,$H$3=""),0,SUM(Model_Mthly!AQ17,(SUM(Model_Mthly!Q18:Q29)/$K$3)*(1-cost_of_sale),-Model_Mthly!V17))</f>
        <v>9612217.1761136521</v>
      </c>
      <c r="L17" s="160"/>
      <c r="M17" s="302">
        <f>IF(OR($H$3&lt;=0.0075,$H$3="",down_payment&lt;=0),"N/A",IRR(($D$4:D16,E17),))</f>
        <v>2.1289849080145317E-2</v>
      </c>
      <c r="N17" s="288">
        <f>IF(OR($H$3&lt;=0.0075,$H$3="",down_payment&lt;=0),"N/A",IRR(($D$4:D16,F17),))</f>
        <v>1.6952867625877794E-2</v>
      </c>
      <c r="O17" s="288">
        <f>IF(OR($H$3&lt;=0.0075,$H$3="",down_payment&lt;=0),"N/A",IRR(($D$4:D16,G17),))</f>
        <v>1.2680554005576123E-2</v>
      </c>
      <c r="P17" s="303">
        <f>IF(OR($H$3&lt;=0.0075,$H$3="",down_payment&lt;=0),"N/A",IRR(($D$4:D16,H17),))</f>
        <v>8.4649349980454383E-3</v>
      </c>
      <c r="Q17" s="288">
        <f>IF(OR($H$3&lt;=0.0075,$H$3="",down_payment&lt;=0),"N/A",IRR(($D$4:D16,I17),))</f>
        <v>4.298531359307088E-3</v>
      </c>
      <c r="R17" s="288">
        <f>IF(OR($H$3&lt;=0.0075,$H$3="",down_payment&lt;=0),"N/A",IRR(($D$4:D16,J17),))</f>
        <v>1.7427306522766804E-4</v>
      </c>
      <c r="S17" s="288">
        <f>IF(OR($H$3&lt;=0.0075,$H$3="",down_payment&lt;=0),"N/A",IRR(($D$4:D16,K17),))</f>
        <v>-3.9145760568185728E-3</v>
      </c>
      <c r="T17" s="233"/>
      <c r="U17" s="304">
        <f t="shared" si="4"/>
        <v>0.287621394440704</v>
      </c>
      <c r="V17" s="304">
        <f t="shared" si="5"/>
        <v>0.22351670553990122</v>
      </c>
      <c r="W17" s="304">
        <f t="shared" si="6"/>
        <v>0.16324085315620618</v>
      </c>
      <c r="X17" s="305">
        <f t="shared" si="7"/>
        <v>0.10644447682978941</v>
      </c>
      <c r="Y17" s="304">
        <f t="shared" si="8"/>
        <v>5.2819526645034642E-2</v>
      </c>
      <c r="Z17" s="304">
        <f t="shared" si="9"/>
        <v>2.0932824403017136E-3</v>
      </c>
      <c r="AA17" s="304">
        <f t="shared" si="10"/>
        <v>-4.5976616443862084E-2</v>
      </c>
      <c r="AB17" s="103"/>
      <c r="AC17" s="149">
        <f>SUM(Model_Mthly!$Q17,-IF(AND(leveraged_property,B17&lt;=amort_period),-PMT(AC$3/12,amort_period,loan_amount),0))</f>
        <v>98389.75303220388</v>
      </c>
      <c r="AD17" s="149">
        <f>AD16+IF(AND(leveraged_property,$B17&lt;=amort_period),PPMT(AD$3/12,$B17,amort_period,loan_amount),0)</f>
        <v>9340875.329941554</v>
      </c>
      <c r="AE17" s="149">
        <f ca="1">SUM(AC17,Model_Mthly!$AA17,-AD17)</f>
        <v>11406696.898090648</v>
      </c>
      <c r="AF17" s="149">
        <f>SUM(Model_Mthly!$Q17,-IF(AND(leveraged_property,B17&lt;=amort_period),-PMT(AF$3/12,amort_period,loan_amount),0))</f>
        <v>96948.195813846876</v>
      </c>
      <c r="AG17" s="149">
        <f>AG16+IF(AND(leveraged_property,$B17&lt;=amort_period),PPMT(AG$3/12,$B17,amort_period,loan_amount),0)</f>
        <v>9347841.5725356508</v>
      </c>
      <c r="AH17" s="149">
        <f ca="1">SUM(AF17,Model_Mthly!$AA17,-AG17)</f>
        <v>11398289.098278193</v>
      </c>
      <c r="AI17" s="149">
        <f>SUM(Model_Mthly!$Q17,-IF(AND(leveraged_property,B17&lt;=amort_period),-PMT(AI$3/12,amort_period,loan_amount),0))</f>
        <v>95486.898296520172</v>
      </c>
      <c r="AJ17" s="149">
        <f>AJ16+IF(AND(leveraged_property,$B17&lt;=amort_period),PPMT(AJ$3/12,$B17,amort_period,loan_amount),0)</f>
        <v>9354562.0678519476</v>
      </c>
      <c r="AK17" s="149">
        <f ca="1">SUM(AI17,Model_Mthly!$AA17,-AJ17)</f>
        <v>11390107.30544457</v>
      </c>
      <c r="AL17" s="229">
        <f>SUM(Model_Mthly!$Q17,-IF(AND(leveraged_property,B17&lt;=amort_period),-PMT(AL$3/12,amort_period,loan_amount),0))</f>
        <v>94006.294872034778</v>
      </c>
      <c r="AM17" s="229">
        <f>AM16+IF(AND(leveraged_property,$B17&lt;=amort_period),PPMT(AM$3/12,$B17,amort_period,loan_amount),0)</f>
        <v>9361041.6673298087</v>
      </c>
      <c r="AN17" s="229">
        <f ca="1">SUM(AL17,Model_Mthly!$AA17,-AM17)</f>
        <v>11382147.102542223</v>
      </c>
      <c r="AO17" s="149">
        <f>SUM(Model_Mthly!$Q17,-IF(AND(leveraged_property,B17&lt;=amort_period),-PMT(AO$3/12,amort_period,loan_amount),0))</f>
        <v>92506.828637862578</v>
      </c>
      <c r="AP17" s="162">
        <f>AP16+IF(AND(leveraged_property,$B17&lt;=amort_period),PPMT(AP$3/12,$B17,amort_period,loan_amount),0)</f>
        <v>9367285.3651593029</v>
      </c>
      <c r="AQ17" s="149">
        <f ca="1">SUM(AO17,Model_Mthly!$AA17,-AP17)</f>
        <v>11374403.938478559</v>
      </c>
      <c r="AR17" s="149">
        <f>SUM(Model_Mthly!$Q17,-IF(AND(leveraged_property,B17&lt;=amort_period),-PMT(AR$3/12,amort_period,loan_amount),0))</f>
        <v>90988.950110487902</v>
      </c>
      <c r="AS17" s="162">
        <f>AS16+IF(AND(leveraged_property,$B17&lt;=amort_period),PPMT(AS$3/12,$B17,amort_period,loan_amount),0)</f>
        <v>9373298.2818808593</v>
      </c>
      <c r="AT17" s="149">
        <f ca="1">SUM(AR17,Model_Mthly!$AA17,-AS17)</f>
        <v>11366873.143229626</v>
      </c>
      <c r="AU17" s="149">
        <f>SUM(Model_Mthly!$Q17,-IF(AND(leveraged_property,B17&lt;=amort_period),-PMT(AU$3/12,amort_period,loan_amount),0))</f>
        <v>89453.115959492614</v>
      </c>
      <c r="AV17" s="162">
        <f>AV16+IF(AND(leveraged_property,$B17&lt;=amort_period),PPMT(AV$3/12,$B17,amort_period,loan_amount),0)</f>
        <v>9379085.648136599</v>
      </c>
      <c r="AW17" s="149">
        <f ca="1">SUM(AU17,Model_Mthly!$AA17,-AV17)</f>
        <v>11359549.94282289</v>
      </c>
      <c r="AX17" s="103"/>
      <c r="AY17" s="288">
        <f ca="1">IF(AND(leveraged_property,down_payment&gt;0),IRR(($AC$4:AC16,AE17),),"N/A")</f>
        <v>8.9848506034687879E-3</v>
      </c>
      <c r="AZ17" s="288">
        <f ca="1">IF(AND(leveraged_property,down_payment&gt;0),IRR(($AF$4:AF16,AH17),),"N/A")</f>
        <v>8.8117952273917988E-3</v>
      </c>
      <c r="BA17" s="288">
        <f ca="1">IF(AND(leveraged_property,down_payment&gt;0),IRR(($AI$4:AI16,AK17),),"N/A")</f>
        <v>8.6384860918545196E-3</v>
      </c>
      <c r="BB17" s="303">
        <f ca="1">IF(AND(leveraged_property,down_payment&gt;0),IRR(($AL$4:AL16,AN17),),"N/A")</f>
        <v>8.4649349980454383E-3</v>
      </c>
      <c r="BC17" s="288">
        <f ca="1">IF(AND(leveraged_property,down_payment&gt;0),IRR(($AO$4:AO16,AQ17),),"N/A")</f>
        <v>8.2911534935221753E-3</v>
      </c>
      <c r="BD17" s="288">
        <f ca="1">IF(AND(leveraged_property,down_payment&gt;0),IRR(($AR$4:AR16,AT17),),"N/A")</f>
        <v>8.1171528576997765E-3</v>
      </c>
      <c r="BE17" s="288">
        <f ca="1">IF(AND(leveraged_property,down_payment&gt;0),IRR(($AU$4:AU16,AW17),),"N/A")</f>
        <v>7.9429440888903191E-3</v>
      </c>
      <c r="BF17" s="103"/>
      <c r="BG17" s="290">
        <f ca="1">IF(AND(leveraged_property,down_payment&gt;0),((1+AY17)^12)-1,"N/A")</f>
        <v>0.11330906912918892</v>
      </c>
      <c r="BH17" s="290">
        <f ca="1">IF(AND(leveraged_property,down_payment&gt;0),((1+AZ17)^12)-1,"N/A")</f>
        <v>0.11101984770707118</v>
      </c>
      <c r="BI17" s="290">
        <f ca="1">IF(AND(leveraged_property,down_payment&gt;0),((1+BA17)^12)-1,"N/A")</f>
        <v>0.1087315946275309</v>
      </c>
      <c r="BJ17" s="305">
        <f ca="1">IF(AND(leveraged_property,down_payment&gt;0),((1+BB17)^12)-1,"N/A")</f>
        <v>0.10644447682978941</v>
      </c>
      <c r="BK17" s="290">
        <f ca="1">IF(AND(leveraged_property,down_payment&gt;0),((1+BC17)^12)-1,"N/A")</f>
        <v>0.10415865671691615</v>
      </c>
      <c r="BL17" s="290">
        <f ca="1">IF(AND(leveraged_property,down_payment&gt;0),((1+BD17)^12)-1,"N/A")</f>
        <v>0.10187429199812192</v>
      </c>
      <c r="BM17" s="290">
        <f ca="1">IF(AND(leveraged_property,down_payment&gt;0),((1+BE17)^12)-1,"N/A")</f>
        <v>9.9591535553654076E-2</v>
      </c>
    </row>
    <row r="18" spans="1:65">
      <c r="A18" s="137">
        <f>Model_Mthly!A18</f>
        <v>40589</v>
      </c>
      <c r="B18" s="138">
        <f>Model_Mthly!B18</f>
        <v>14</v>
      </c>
      <c r="C18" s="223"/>
      <c r="D18" s="139">
        <f>Model_Mthly!AQ18</f>
        <v>43415.694872034779</v>
      </c>
      <c r="E18" s="231">
        <f>IF(OR($H$3&lt;=0.0075,$H$3=""),0,SUM(Model_Mthly!AQ18,(SUM(Model_Mthly!Q19:Q30)/$E$3)*(1-cost_of_sale),-Model_Mthly!V18))</f>
        <v>13786723.774982287</v>
      </c>
      <c r="F18" s="231">
        <f>IF(OR($H$3&lt;=0.0075,$H$3=""),0,SUM(Model_Mthly!AQ18,(SUM(Model_Mthly!Q19:Q30)/$F$3)*(1-cost_of_sale),-Model_Mthly!V18))</f>
        <v>13016946.622761598</v>
      </c>
      <c r="G18" s="231">
        <f>IF(OR($H$3&lt;=0.0075,$H$3=""),0,SUM(Model_Mthly!AQ18,(SUM(Model_Mthly!Q19:Q30)/$G$3)*(1-cost_of_sale),-Model_Mthly!V18))</f>
        <v>12296832.512619661</v>
      </c>
      <c r="H18" s="232">
        <f>IF(OR($H$3&lt;=0.0075,$H$3=""),0,SUM(Model_Mthly!AQ18,(SUM(Model_Mthly!Q19:Q30)/$H$3)*(1-cost_of_sale),-Model_Mthly!V18))</f>
        <v>11621725.534361595</v>
      </c>
      <c r="I18" s="231">
        <f>IF(OR($H$3&lt;=0.0075,$H$3=""),0,SUM(Model_Mthly!AQ18,(SUM(Model_Mthly!Q19:Q30)/$I$3)*(1-cost_of_sale),-Model_Mthly!V18))</f>
        <v>10987534.130543413</v>
      </c>
      <c r="J18" s="231">
        <f>IF(OR($H$3&lt;=0.0075,$H$3=""),0,SUM(Model_Mthly!AQ18,(SUM(Model_Mthly!Q19:Q30)/$J$3)*(1-cost_of_sale),-Model_Mthly!V18))</f>
        <v>10390648.103420416</v>
      </c>
      <c r="K18" s="231">
        <f>IF(OR($H$3&lt;=0.0075,$H$3=""),0,SUM(Model_Mthly!AQ18,(SUM(Model_Mthly!Q19:Q30)/$K$3)*(1-cost_of_sale),-Model_Mthly!V18))</f>
        <v>9827869.8492758777</v>
      </c>
      <c r="L18" s="160"/>
      <c r="M18" s="302">
        <f>IF(OR($H$3&lt;=0.0075,$H$3="",down_payment&lt;=0),"N/A",IRR(($D$4:D17,E18),))</f>
        <v>2.1678093056966732E-2</v>
      </c>
      <c r="N18" s="288">
        <f>IF(OR($H$3&lt;=0.0075,$H$3="",down_payment&lt;=0),"N/A",IRR(($D$4:D17,F18),))</f>
        <v>1.7687858714394072E-2</v>
      </c>
      <c r="O18" s="288">
        <f>IF(OR($H$3&lt;=0.0075,$H$3="",down_payment&lt;=0),"N/A",IRR(($D$4:D17,G18),))</f>
        <v>1.375771696362508E-2</v>
      </c>
      <c r="P18" s="303">
        <f>IF(OR($H$3&lt;=0.0075,$H$3="",down_payment&lt;=0),"N/A",IRR(($D$4:D17,H18),))</f>
        <v>9.8804049265223022E-3</v>
      </c>
      <c r="Q18" s="288">
        <f>IF(OR($H$3&lt;=0.0075,$H$3="",down_payment&lt;=0),"N/A",IRR(($D$4:D17,I18),))</f>
        <v>6.0491179085163079E-3</v>
      </c>
      <c r="R18" s="288">
        <f>IF(OR($H$3&lt;=0.0075,$H$3="",down_payment&lt;=0),"N/A",IRR(($D$4:D17,J18),))</f>
        <v>2.2574325597290936E-3</v>
      </c>
      <c r="S18" s="288">
        <f>IF(OR($H$3&lt;=0.0075,$H$3="",down_payment&lt;=0),"N/A",IRR(($D$4:D17,K18),))</f>
        <v>-1.5007612601188425E-3</v>
      </c>
      <c r="T18" s="233"/>
      <c r="U18" s="304">
        <f t="shared" si="4"/>
        <v>0.29350757226435942</v>
      </c>
      <c r="V18" s="304">
        <f t="shared" si="5"/>
        <v>0.23417038123505063</v>
      </c>
      <c r="W18" s="304">
        <f t="shared" si="6"/>
        <v>0.17817574635650657</v>
      </c>
      <c r="X18" s="305">
        <f t="shared" si="7"/>
        <v>0.12522493122547917</v>
      </c>
      <c r="Y18" s="304">
        <f t="shared" si="8"/>
        <v>7.5053841383090347E-2</v>
      </c>
      <c r="Z18" s="304">
        <f t="shared" si="9"/>
        <v>2.7428070588012554E-2</v>
      </c>
      <c r="AA18" s="304">
        <f t="shared" si="10"/>
        <v>-1.7861225479710474E-2</v>
      </c>
      <c r="AB18" s="103"/>
      <c r="AC18" s="149">
        <f>SUM(Model_Mthly!$Q18,-IF(AND(leveraged_property,B18&lt;=amort_period),-PMT(AC$3/12,amort_period,loan_amount),0))</f>
        <v>47799.153032203882</v>
      </c>
      <c r="AD18" s="149">
        <f>AD17+IF(AND(leveraged_property,$B18&lt;=amort_period),PPMT(AD$3/12,$B18,amort_period,loan_amount),0)</f>
        <v>9328293.1311547756</v>
      </c>
      <c r="AE18" s="149">
        <f ca="1">SUM(AC18,Model_Mthly!$AA18,-AD18)</f>
        <v>11647822.347877424</v>
      </c>
      <c r="AF18" s="149">
        <f>SUM(Model_Mthly!$Q18,-IF(AND(leveraged_property,B18&lt;=amort_period),-PMT(AF$3/12,amort_period,loan_amount),0))</f>
        <v>46357.595813846885</v>
      </c>
      <c r="AG18" s="149">
        <f>AG17+IF(AND(leveraged_property,$B18&lt;=amort_period),PPMT(AG$3/12,$B18,amort_period,loan_amount),0)</f>
        <v>9335792.858235063</v>
      </c>
      <c r="AH18" s="149">
        <f ca="1">SUM(AF18,Model_Mthly!$AA18,-AG18)</f>
        <v>11638881.063578783</v>
      </c>
      <c r="AI18" s="149">
        <f>SUM(Model_Mthly!$Q18,-IF(AND(leveraged_property,B18&lt;=amort_period),-PMT(AI$3/12,amort_period,loan_amount),0))</f>
        <v>44896.298296520174</v>
      </c>
      <c r="AJ18" s="149">
        <f>AJ17+IF(AND(leveraged_property,$B18&lt;=amort_period),PPMT(AJ$3/12,$B18,amort_period,loan_amount),0)</f>
        <v>9343028.9251953196</v>
      </c>
      <c r="AK18" s="149">
        <f ca="1">SUM(AI18,Model_Mthly!$AA18,-AJ18)</f>
        <v>11630183.699101197</v>
      </c>
      <c r="AL18" s="229">
        <f>SUM(Model_Mthly!$Q18,-IF(AND(leveraged_property,B18&lt;=amort_period),-PMT(AL$3/12,amort_period,loan_amount),0))</f>
        <v>43415.694872034779</v>
      </c>
      <c r="AM18" s="229">
        <f>AM17+IF(AND(leveraged_property,$B18&lt;=amort_period),PPMT(AM$3/12,$B18,amort_period,loan_amount),0)</f>
        <v>9350006.4865104388</v>
      </c>
      <c r="AN18" s="229">
        <f ca="1">SUM(AL18,Model_Mthly!$AA18,-AM18)</f>
        <v>11621725.534361595</v>
      </c>
      <c r="AO18" s="149">
        <f>SUM(Model_Mthly!$Q18,-IF(AND(leveraged_property,B18&lt;=amort_period),-PMT(AO$3/12,amort_period,loan_amount),0))</f>
        <v>41916.228637862587</v>
      </c>
      <c r="AP18" s="162">
        <f>AP17+IF(AND(leveraged_property,$B18&lt;=amort_period),PPMT(AP$3/12,$B18,amort_period,loan_amount),0)</f>
        <v>9356730.8528385535</v>
      </c>
      <c r="AQ18" s="149">
        <f ca="1">SUM(AO18,Model_Mthly!$AA18,-AP18)</f>
        <v>11613501.701799307</v>
      </c>
      <c r="AR18" s="149">
        <f>SUM(Model_Mthly!$Q18,-IF(AND(leveraged_property,B18&lt;=amort_period),-PMT(AR$3/12,amort_period,loan_amount),0))</f>
        <v>40398.350110487911</v>
      </c>
      <c r="AS18" s="162">
        <f>AS17+IF(AND(leveraged_property,$B18&lt;=amort_period),PPMT(AS$3/12,$B18,amort_period,loan_amount),0)</f>
        <v>9363207.4734007511</v>
      </c>
      <c r="AT18" s="149">
        <f ca="1">SUM(AR18,Model_Mthly!$AA18,-AS18)</f>
        <v>11605507.202709733</v>
      </c>
      <c r="AU18" s="149">
        <f>SUM(Model_Mthly!$Q18,-IF(AND(leveraged_property,B18&lt;=amort_period),-PMT(AU$3/12,amort_period,loan_amount),0))</f>
        <v>38862.515959492623</v>
      </c>
      <c r="AV18" s="162">
        <f>AV17+IF(AND(leveraged_property,$B18&lt;=amort_period),PPMT(AV$3/12,$B18,amort_period,loan_amount),0)</f>
        <v>9369441.9185134694</v>
      </c>
      <c r="AW18" s="149">
        <f ca="1">SUM(AU18,Model_Mthly!$AA18,-AV18)</f>
        <v>11597736.923446022</v>
      </c>
      <c r="AX18" s="103"/>
      <c r="AY18" s="288">
        <f ca="1">IF(AND(leveraged_property,down_payment&gt;0),IRR(($AC$4:AC17,AE18),),"N/A")</f>
        <v>1.0393633864988809E-2</v>
      </c>
      <c r="AZ18" s="288">
        <f ca="1">IF(AND(leveraged_property,down_payment&gt;0),IRR(($AF$4:AF17,AH18),),"N/A")</f>
        <v>1.0222835985016727E-2</v>
      </c>
      <c r="BA18" s="288">
        <f ca="1">IF(AND(leveraged_property,down_payment&gt;0),IRR(($AI$4:AI17,AK18),),"N/A")</f>
        <v>1.0051755421673626E-2</v>
      </c>
      <c r="BB18" s="303">
        <f ca="1">IF(AND(leveraged_property,down_payment&gt;0),IRR(($AL$4:AL17,AN18),),"N/A")</f>
        <v>9.8804049265223022E-3</v>
      </c>
      <c r="BC18" s="288">
        <f ca="1">IF(AND(leveraged_property,down_payment&gt;0),IRR(($AO$4:AO17,AQ18),),"N/A")</f>
        <v>9.7087969969064797E-3</v>
      </c>
      <c r="BD18" s="288">
        <f ca="1">IF(AND(leveraged_property,down_payment&gt;0),IRR(($AR$4:AR17,AT18),),"N/A")</f>
        <v>9.5369438592760938E-3</v>
      </c>
      <c r="BE18" s="288">
        <f ca="1">IF(AND(leveraged_property,down_payment&gt;0),IRR(($AU$4:AU17,AW18),),"N/A")</f>
        <v>9.3648574541627515E-3</v>
      </c>
      <c r="BF18" s="103"/>
      <c r="BG18" s="290">
        <f ca="1">IF(AND(leveraged_property,down_payment&gt;0),((1+AY18)^12)-1,"N/A")</f>
        <v>0.13210631940600392</v>
      </c>
      <c r="BH18" s="290">
        <f ca="1">IF(AND(leveraged_property,down_payment&gt;0),((1+AZ18)^12)-1,"N/A")</f>
        <v>0.12981198562009988</v>
      </c>
      <c r="BI18" s="290">
        <f ca="1">IF(AND(leveraged_property,down_payment&gt;0),((1+BA18)^12)-1,"N/A")</f>
        <v>0.12751812807930651</v>
      </c>
      <c r="BJ18" s="305">
        <f ca="1">IF(AND(leveraged_property,down_payment&gt;0),((1+BB18)^12)-1,"N/A")</f>
        <v>0.12522493122547917</v>
      </c>
      <c r="BK18" s="290">
        <f ca="1">IF(AND(leveraged_property,down_payment&gt;0),((1+BC18)^12)-1,"N/A")</f>
        <v>0.12293257480815711</v>
      </c>
      <c r="BL18" s="290">
        <f ca="1">IF(AND(leveraged_property,down_payment&gt;0),((1+BD18)^12)-1,"N/A")</f>
        <v>0.12064123369454971</v>
      </c>
      <c r="BM18" s="290">
        <f ca="1">IF(AND(leveraged_property,down_payment&gt;0),((1+BE18)^12)-1,"N/A")</f>
        <v>0.11835107770425379</v>
      </c>
    </row>
    <row r="19" spans="1:65">
      <c r="A19" s="137">
        <f>Model_Mthly!A19</f>
        <v>40617</v>
      </c>
      <c r="B19" s="138">
        <f>Model_Mthly!B19</f>
        <v>15</v>
      </c>
      <c r="C19" s="223"/>
      <c r="D19" s="139">
        <f>Model_Mthly!AQ19</f>
        <v>94006.294872034778</v>
      </c>
      <c r="E19" s="231">
        <f>IF(OR($H$3&lt;=0.0075,$H$3=""),0,SUM(Model_Mthly!AQ19,(SUM(Model_Mthly!Q20:Q31)/$E$3)*(1-cost_of_sale),-Model_Mthly!V19))</f>
        <v>14183333.954403399</v>
      </c>
      <c r="F19" s="231">
        <f>IF(OR($H$3&lt;=0.0075,$H$3=""),0,SUM(Model_Mthly!AQ19,(SUM(Model_Mthly!Q20:Q31)/$F$3)*(1-cost_of_sale),-Model_Mthly!V19))</f>
        <v>13402392.34149305</v>
      </c>
      <c r="G19" s="231">
        <f>IF(OR($H$3&lt;=0.0075,$H$3=""),0,SUM(Model_Mthly!AQ19,(SUM(Model_Mthly!Q20:Q31)/$G$3)*(1-cost_of_sale),-Model_Mthly!V19))</f>
        <v>12671834.058447892</v>
      </c>
      <c r="H19" s="232">
        <f>IF(OR($H$3&lt;=0.0075,$H$3=""),0,SUM(Model_Mthly!AQ19,(SUM(Model_Mthly!Q20:Q31)/$H$3)*(1-cost_of_sale),-Model_Mthly!V19))</f>
        <v>11986935.66809305</v>
      </c>
      <c r="I19" s="231">
        <f>IF(OR($H$3&lt;=0.0075,$H$3=""),0,SUM(Model_Mthly!AQ19,(SUM(Model_Mthly!Q20:Q31)/$I$3)*(1-cost_of_sale),-Model_Mthly!V19))</f>
        <v>11343546.27109305</v>
      </c>
      <c r="J19" s="231">
        <f>IF(OR($H$3&lt;=0.0075,$H$3=""),0,SUM(Model_Mthly!AQ19,(SUM(Model_Mthly!Q20:Q31)/$J$3)*(1-cost_of_sale),-Model_Mthly!V19))</f>
        <v>10738003.309210697</v>
      </c>
      <c r="K19" s="231">
        <f>IF(OR($H$3&lt;=0.0075,$H$3=""),0,SUM(Model_Mthly!AQ19,(SUM(Model_Mthly!Q20:Q31)/$K$3)*(1-cost_of_sale),-Model_Mthly!V19))</f>
        <v>10167062.802293049</v>
      </c>
      <c r="L19" s="160"/>
      <c r="M19" s="302">
        <f>IF(OR($H$3&lt;=0.0075,$H$3="",down_payment&lt;=0),"N/A",IRR(($D$4:D18,E19),))</f>
        <v>2.2332994410531957E-2</v>
      </c>
      <c r="N19" s="288">
        <f>IF(OR($H$3&lt;=0.0075,$H$3="",down_payment&lt;=0),"N/A",IRR(($D$4:D18,F19),))</f>
        <v>1.8657399029124937E-2</v>
      </c>
      <c r="O19" s="288">
        <f>IF(OR($H$3&lt;=0.0075,$H$3="",down_payment&lt;=0),"N/A",IRR(($D$4:D18,G19),))</f>
        <v>1.5038710163029774E-2</v>
      </c>
      <c r="P19" s="303">
        <f>IF(OR($H$3&lt;=0.0075,$H$3="",down_payment&lt;=0),"N/A",IRR(($D$4:D18,H19),))</f>
        <v>1.1470314967654114E-2</v>
      </c>
      <c r="Q19" s="288">
        <f>IF(OR($H$3&lt;=0.0075,$H$3="",down_payment&lt;=0),"N/A",IRR(($D$4:D18,I19),))</f>
        <v>7.9460326550419465E-3</v>
      </c>
      <c r="R19" s="288">
        <f>IF(OR($H$3&lt;=0.0075,$H$3="",down_payment&lt;=0),"N/A",IRR(($D$4:D18,J19),))</f>
        <v>4.4600448393341532E-3</v>
      </c>
      <c r="S19" s="288">
        <f>IF(OR($H$3&lt;=0.0075,$H$3="",down_payment&lt;=0),"N/A",IRR(($D$4:D18,K19),))</f>
        <v>1.0068340766525713E-3</v>
      </c>
      <c r="T19" s="233"/>
      <c r="U19" s="304">
        <f t="shared" si="4"/>
        <v>0.30349247224330855</v>
      </c>
      <c r="V19" s="304">
        <f t="shared" si="5"/>
        <v>0.24835391739071455</v>
      </c>
      <c r="W19" s="304">
        <f t="shared" si="6"/>
        <v>0.19616546939788315</v>
      </c>
      <c r="X19" s="305">
        <f t="shared" si="7"/>
        <v>0.1466680119307866</v>
      </c>
      <c r="Y19" s="304">
        <f t="shared" si="8"/>
        <v>9.9631969014150723E-2</v>
      </c>
      <c r="Z19" s="304">
        <f t="shared" si="9"/>
        <v>5.4853125568949501E-2</v>
      </c>
      <c r="AA19" s="304">
        <f t="shared" si="10"/>
        <v>1.2149139151328203E-2</v>
      </c>
      <c r="AB19" s="103"/>
      <c r="AC19" s="149">
        <f>SUM(Model_Mthly!$Q19,-IF(AND(leveraged_property,B19&lt;=amort_period),-PMT(AC$3/12,amort_period,loan_amount),0))</f>
        <v>98389.75303220388</v>
      </c>
      <c r="AD19" s="149">
        <f>AD18+IF(AND(leveraged_property,$B19&lt;=amort_period),PPMT(AD$3/12,$B19,amort_period,loan_amount),0)</f>
        <v>9315661.1278311331</v>
      </c>
      <c r="AE19" s="149">
        <f ca="1">SUM(AC19,Model_Mthly!$AA19,-AD19)</f>
        <v>12014578.726201067</v>
      </c>
      <c r="AF19" s="149">
        <f>SUM(Model_Mthly!$Q19,-IF(AND(leveraged_property,B19&lt;=amort_period),-PMT(AF$3/12,amort_period,loan_amount),0))</f>
        <v>96948.195813846876</v>
      </c>
      <c r="AG19" s="149">
        <f>AG18+IF(AND(leveraged_property,$B19&lt;=amort_period),PPMT(AG$3/12,$B19,amort_period,loan_amount),0)</f>
        <v>9323693.9409582224</v>
      </c>
      <c r="AH19" s="149">
        <f ca="1">SUM(AF19,Model_Mthly!$AA19,-AG19)</f>
        <v>12005104.35585562</v>
      </c>
      <c r="AI19" s="149">
        <f>SUM(Model_Mthly!$Q19,-IF(AND(leveraged_property,B19&lt;=amort_period),-PMT(AI$3/12,amort_period,loan_amount),0))</f>
        <v>95486.898296520172</v>
      </c>
      <c r="AJ19" s="149">
        <f>AJ18+IF(AND(leveraged_property,$B19&lt;=amort_period),PPMT(AJ$3/12,$B19,amort_period,loan_amount),0)</f>
        <v>9331445.3250395693</v>
      </c>
      <c r="AK19" s="149">
        <f ca="1">SUM(AI19,Model_Mthly!$AA19,-AJ19)</f>
        <v>11995891.674256947</v>
      </c>
      <c r="AL19" s="229">
        <f>SUM(Model_Mthly!$Q19,-IF(AND(leveraged_property,B19&lt;=amort_period),-PMT(AL$3/12,amort_period,loan_amount),0))</f>
        <v>94006.294872034778</v>
      </c>
      <c r="AM19" s="229">
        <f>AM18+IF(AND(leveraged_property,$B19&lt;=amort_period),PPMT(AM$3/12,$B19,amort_period,loan_amount),0)</f>
        <v>9338920.7277789805</v>
      </c>
      <c r="AN19" s="229">
        <f ca="1">SUM(AL19,Model_Mthly!$AA19,-AM19)</f>
        <v>11986935.66809305</v>
      </c>
      <c r="AO19" s="149">
        <f>SUM(Model_Mthly!$Q19,-IF(AND(leveraged_property,B19&lt;=amort_period),-PMT(AO$3/12,amort_period,loan_amount),0))</f>
        <v>92506.828637862578</v>
      </c>
      <c r="AP19" s="162">
        <f>AP18+IF(AND(leveraged_property,$B19&lt;=amort_period),PPMT(AP$3/12,$B19,amort_period,loan_amount),0)</f>
        <v>9346125.7668129336</v>
      </c>
      <c r="AQ19" s="149">
        <f ca="1">SUM(AO19,Model_Mthly!$AA19,-AP19)</f>
        <v>11978231.162824923</v>
      </c>
      <c r="AR19" s="149">
        <f>SUM(Model_Mthly!$Q19,-IF(AND(leveraged_property,B19&lt;=amort_period),-PMT(AR$3/12,amort_period,loan_amount),0))</f>
        <v>90988.950110487902</v>
      </c>
      <c r="AS19" s="162">
        <f>AS18+IF(AND(leveraged_property,$B19&lt;=amort_period),PPMT(AS$3/12,$B19,amort_period,loan_amount),0)</f>
        <v>9353066.2108782437</v>
      </c>
      <c r="AT19" s="149">
        <f ca="1">SUM(AR19,Model_Mthly!$AA19,-AS19)</f>
        <v>11969772.84023224</v>
      </c>
      <c r="AU19" s="149">
        <f>SUM(Model_Mthly!$Q19,-IF(AND(leveraged_property,B19&lt;=amort_period),-PMT(AU$3/12,amort_period,loan_amount),0))</f>
        <v>89453.115959492614</v>
      </c>
      <c r="AV19" s="162">
        <f>AV18+IF(AND(leveraged_property,$B19&lt;=amort_period),PPMT(AV$3/12,$B19,amort_period,loan_amount),0)</f>
        <v>9359747.9611318856</v>
      </c>
      <c r="AW19" s="149">
        <f ca="1">SUM(AU19,Model_Mthly!$AA19,-AV19)</f>
        <v>11961555.255827602</v>
      </c>
      <c r="AX19" s="103"/>
      <c r="AY19" s="288">
        <f ca="1">IF(AND(leveraged_property,down_payment&gt;0),IRR(($AC$4:AC18,AE19),),"N/A")</f>
        <v>1.1975174194186014E-2</v>
      </c>
      <c r="AZ19" s="288">
        <f ca="1">IF(AND(leveraged_property,down_payment&gt;0),IRR(($AF$4:AF18,AH19),),"N/A")</f>
        <v>1.1807195543156745E-2</v>
      </c>
      <c r="BA19" s="288">
        <f ca="1">IF(AND(leveraged_property,down_payment&gt;0),IRR(($AI$4:AI18,AK19),),"N/A")</f>
        <v>1.1638904580520188E-2</v>
      </c>
      <c r="BB19" s="303">
        <f ca="1">IF(AND(leveraged_property,down_payment&gt;0),IRR(($AL$4:AL18,AN19),),"N/A")</f>
        <v>1.1470314967654114E-2</v>
      </c>
      <c r="BC19" s="288">
        <f ca="1">IF(AND(leveraged_property,down_payment&gt;0),IRR(($AO$4:AO18,AQ19),),"N/A")</f>
        <v>1.130144011604004E-2</v>
      </c>
      <c r="BD19" s="288">
        <f ca="1">IF(AND(leveraged_property,down_payment&gt;0),IRR(($AR$4:AR18,AT19),),"N/A")</f>
        <v>1.113229316830688E-2</v>
      </c>
      <c r="BE19" s="288">
        <f ca="1">IF(AND(leveraged_property,down_payment&gt;0),IRR(($AU$4:AU18,AW19),),"N/A")</f>
        <v>1.0962886981006118E-2</v>
      </c>
      <c r="BF19" s="103"/>
      <c r="BG19" s="290">
        <f ca="1">IF(AND(leveraged_property,down_payment&gt;0),((1+AY19)^12)-1,"N/A")</f>
        <v>0.15355498980547333</v>
      </c>
      <c r="BH19" s="290">
        <f ca="1">IF(AND(leveraged_property,down_payment&gt;0),((1+AZ19)^12)-1,"N/A")</f>
        <v>0.1512593310678032</v>
      </c>
      <c r="BI19" s="290">
        <f ca="1">IF(AND(leveraged_property,down_payment&gt;0),((1+BA19)^12)-1,"N/A")</f>
        <v>0.1489636043602669</v>
      </c>
      <c r="BJ19" s="305">
        <f ca="1">IF(AND(leveraged_property,down_payment&gt;0),((1+BB19)^12)-1,"N/A")</f>
        <v>0.1466680119307866</v>
      </c>
      <c r="BK19" s="290">
        <f ca="1">IF(AND(leveraged_property,down_payment&gt;0),((1+BC19)^12)-1,"N/A")</f>
        <v>0.14437275124559457</v>
      </c>
      <c r="BL19" s="290">
        <f ca="1">IF(AND(leveraged_property,down_payment&gt;0),((1+BD19)^12)-1,"N/A")</f>
        <v>0.14207801476312043</v>
      </c>
      <c r="BM19" s="290">
        <f ca="1">IF(AND(leveraged_property,down_payment&gt;0),((1+BE19)^12)-1,"N/A")</f>
        <v>0.13978398973444794</v>
      </c>
    </row>
    <row r="20" spans="1:65">
      <c r="A20" s="137">
        <f>Model_Mthly!A20</f>
        <v>40648</v>
      </c>
      <c r="B20" s="138">
        <f>Model_Mthly!B20</f>
        <v>16</v>
      </c>
      <c r="C20" s="223"/>
      <c r="D20" s="139">
        <f>Model_Mthly!AQ20</f>
        <v>93991.669872034778</v>
      </c>
      <c r="E20" s="231">
        <f>IF(OR($H$3&lt;=0.0075,$H$3=""),0,SUM(Model_Mthly!AQ20,(SUM(Model_Mthly!Q21:Q32)/$E$3)*(1-cost_of_sale),-Model_Mthly!V20))</f>
        <v>14529383.424758928</v>
      </c>
      <c r="F20" s="231">
        <f>IF(OR($H$3&lt;=0.0075,$H$3=""),0,SUM(Model_Mthly!AQ20,(SUM(Model_Mthly!Q21:Q32)/$F$3)*(1-cost_of_sale),-Model_Mthly!V20))</f>
        <v>13737277.560952032</v>
      </c>
      <c r="G20" s="231">
        <f>IF(OR($H$3&lt;=0.0075,$H$3=""),0,SUM(Model_Mthly!AQ20,(SUM(Model_Mthly!Q21:Q32)/$G$3)*(1-cost_of_sale),-Model_Mthly!V20))</f>
        <v>12996275.301261706</v>
      </c>
      <c r="H20" s="232">
        <f>IF(OR($H$3&lt;=0.0075,$H$3=""),0,SUM(Model_Mthly!AQ20,(SUM(Model_Mthly!Q21:Q32)/$H$3)*(1-cost_of_sale),-Model_Mthly!V20))</f>
        <v>12301585.682802031</v>
      </c>
      <c r="I20" s="231">
        <f>IF(OR($H$3&lt;=0.0075,$H$3=""),0,SUM(Model_Mthly!AQ20,(SUM(Model_Mthly!Q21:Q32)/$I$3)*(1-cost_of_sale),-Model_Mthly!V20))</f>
        <v>11648998.465461118</v>
      </c>
      <c r="J20" s="231">
        <f>IF(OR($H$3&lt;=0.0075,$H$3=""),0,SUM(Model_Mthly!AQ20,(SUM(Model_Mthly!Q21:Q32)/$J$3)*(1-cost_of_sale),-Model_Mthly!V20))</f>
        <v>11034798.731493207</v>
      </c>
      <c r="K20" s="231">
        <f>IF(OR($H$3&lt;=0.0075,$H$3=""),0,SUM(Model_Mthly!AQ20,(SUM(Model_Mthly!Q21:Q32)/$K$3)*(1-cost_of_sale),-Model_Mthly!V20))</f>
        <v>10455696.125180596</v>
      </c>
      <c r="L20" s="160"/>
      <c r="M20" s="302">
        <f>IF(OR($H$3&lt;=0.0075,$H$3="",down_payment&lt;=0),"N/A",IRR(($D$4:D19,E20),))</f>
        <v>2.2860187181400766E-2</v>
      </c>
      <c r="N20" s="288">
        <f>IF(OR($H$3&lt;=0.0075,$H$3="",down_payment&lt;=0),"N/A",IRR(($D$4:D19,F20),))</f>
        <v>1.9457977649091861E-2</v>
      </c>
      <c r="O20" s="288">
        <f>IF(OR($H$3&lt;=0.0075,$H$3="",down_payment&lt;=0),"N/A",IRR(($D$4:D19,G20),))</f>
        <v>1.6109876987517424E-2</v>
      </c>
      <c r="P20" s="303">
        <f>IF(OR($H$3&lt;=0.0075,$H$3="",down_payment&lt;=0),"N/A",IRR(($D$4:D19,H20),))</f>
        <v>1.2809824482652787E-2</v>
      </c>
      <c r="Q20" s="288">
        <f>IF(OR($H$3&lt;=0.0075,$H$3="",down_payment&lt;=0),"N/A",IRR(($D$4:D19,I20),))</f>
        <v>9.5521680282932321E-3</v>
      </c>
      <c r="R20" s="288">
        <f>IF(OR($H$3&lt;=0.0075,$H$3="",down_payment&lt;=0),"N/A",IRR(($D$4:D19,J20),))</f>
        <v>6.3316004672625348E-3</v>
      </c>
      <c r="S20" s="288">
        <f>IF(OR($H$3&lt;=0.0075,$H$3="",down_payment&lt;=0),"N/A",IRR(($D$4:D19,K20),))</f>
        <v>3.1431036607674099E-3</v>
      </c>
      <c r="T20" s="233"/>
      <c r="U20" s="304">
        <f t="shared" si="4"/>
        <v>0.31158154919857739</v>
      </c>
      <c r="V20" s="304">
        <f t="shared" si="5"/>
        <v>0.26017814908681092</v>
      </c>
      <c r="W20" s="304">
        <f t="shared" si="6"/>
        <v>0.21140140987265066</v>
      </c>
      <c r="X20" s="305">
        <f t="shared" si="7"/>
        <v>0.16502398192789869</v>
      </c>
      <c r="Y20" s="304">
        <f t="shared" si="8"/>
        <v>0.12084404644091773</v>
      </c>
      <c r="Z20" s="304">
        <f t="shared" si="9"/>
        <v>7.8681736402510083E-2</v>
      </c>
      <c r="AA20" s="304">
        <f t="shared" si="10"/>
        <v>3.8376144352670893E-2</v>
      </c>
      <c r="AB20" s="103"/>
      <c r="AC20" s="149">
        <f>SUM(Model_Mthly!$Q20,-IF(AND(leveraged_property,B20&lt;=amort_period),-PMT(AC$3/12,amort_period,loan_amount),0))</f>
        <v>98375.12803220388</v>
      </c>
      <c r="AD20" s="149">
        <f>AD19+IF(AND(leveraged_property,$B20&lt;=amort_period),PPMT(AD$3/12,$B20,amort_period,loan_amount),0)</f>
        <v>9302979.1228276677</v>
      </c>
      <c r="AE20" s="149">
        <f ca="1">SUM(AC20,Model_Mthly!$AA20,-AD20)</f>
        <v>12330774.177454535</v>
      </c>
      <c r="AF20" s="149">
        <f>SUM(Model_Mthly!$Q20,-IF(AND(leveraged_property,B20&lt;=amort_period),-PMT(AF$3/12,amort_period,loan_amount),0))</f>
        <v>96933.570813846876</v>
      </c>
      <c r="AG20" s="149">
        <f>AG19+IF(AND(leveraged_property,$B20&lt;=amort_period),PPMT(AG$3/12,$B20,amort_period,loan_amount),0)</f>
        <v>9311544.6115260627</v>
      </c>
      <c r="AH20" s="149">
        <f ca="1">SUM(AF20,Model_Mthly!$AA20,-AG20)</f>
        <v>12320767.131537782</v>
      </c>
      <c r="AI20" s="149">
        <f>SUM(Model_Mthly!$Q20,-IF(AND(leveraged_property,B20&lt;=amort_period),-PMT(AI$3/12,amort_period,loan_amount),0))</f>
        <v>95472.273296520172</v>
      </c>
      <c r="AJ20" s="149">
        <f>AJ19+IF(AND(leveraged_property,$B20&lt;=amort_period),PPMT(AJ$3/12,$B20,amort_period,loan_amount),0)</f>
        <v>9319811.0466331374</v>
      </c>
      <c r="AK20" s="149">
        <f ca="1">SUM(AI20,Model_Mthly!$AA20,-AJ20)</f>
        <v>12311039.398913382</v>
      </c>
      <c r="AL20" s="229">
        <f>SUM(Model_Mthly!$Q20,-IF(AND(leveraged_property,B20&lt;=amort_period),-PMT(AL$3/12,amort_period,loan_amount),0))</f>
        <v>93991.669872034778</v>
      </c>
      <c r="AM20" s="229">
        <f>AM19+IF(AND(leveraged_property,$B20&lt;=amort_period),PPMT(AM$3/12,$B20,amort_period,loan_amount),0)</f>
        <v>9327784.1593200024</v>
      </c>
      <c r="AN20" s="229">
        <f ca="1">SUM(AL20,Model_Mthly!$AA20,-AM20)</f>
        <v>12301585.682802031</v>
      </c>
      <c r="AO20" s="149">
        <f>SUM(Model_Mthly!$Q20,-IF(AND(leveraged_property,B20&lt;=amort_period),-PMT(AO$3/12,amort_period,loan_amount),0))</f>
        <v>92492.203637862578</v>
      </c>
      <c r="AP20" s="162">
        <f>AP19+IF(AND(leveraged_property,$B20&lt;=amort_period),PPMT(AP$3/12,$B20,amort_period,loan_amount),0)</f>
        <v>9335469.8647501078</v>
      </c>
      <c r="AQ20" s="149">
        <f ca="1">SUM(AO20,Model_Mthly!$AA20,-AP20)</f>
        <v>12292400.511137756</v>
      </c>
      <c r="AR20" s="149">
        <f>SUM(Model_Mthly!$Q20,-IF(AND(leveraged_property,B20&lt;=amort_period),-PMT(AR$3/12,amort_period,loan_amount),0))</f>
        <v>90974.325110487902</v>
      </c>
      <c r="AS20" s="162">
        <f>AS19+IF(AND(leveraged_property,$B20&lt;=amort_period),PPMT(AS$3/12,$B20,amort_period,loan_amount),0)</f>
        <v>9342874.2420431226</v>
      </c>
      <c r="AT20" s="149">
        <f ca="1">SUM(AR20,Model_Mthly!$AA20,-AS20)</f>
        <v>12283478.255317364</v>
      </c>
      <c r="AU20" s="149">
        <f>SUM(Model_Mthly!$Q20,-IF(AND(leveraged_property,B20&lt;=amort_period),-PMT(AU$3/12,amort_period,loan_amount),0))</f>
        <v>89438.490959492614</v>
      </c>
      <c r="AV20" s="162">
        <f>AV19+IF(AND(leveraged_property,$B20&lt;=amort_period),PPMT(AV$3/12,$B20,amort_period,loan_amount),0)</f>
        <v>9350003.5143889394</v>
      </c>
      <c r="AW20" s="149">
        <f ca="1">SUM(AU20,Model_Mthly!$AA20,-AV20)</f>
        <v>12274813.148820551</v>
      </c>
      <c r="AX20" s="103"/>
      <c r="AY20" s="288">
        <f ca="1">IF(AND(leveraged_property,down_payment&gt;0),IRR(($AC$4:AC19,AE20),),"N/A")</f>
        <v>1.330669215888206E-2</v>
      </c>
      <c r="AZ20" s="288">
        <f ca="1">IF(AND(leveraged_property,down_payment&gt;0),IRR(($AF$4:AF19,AH20),),"N/A")</f>
        <v>1.3141404824409966E-2</v>
      </c>
      <c r="BA20" s="288">
        <f ca="1">IF(AND(leveraged_property,down_payment&gt;0),IRR(($AI$4:AI19,AK20),),"N/A")</f>
        <v>1.2975777428592825E-2</v>
      </c>
      <c r="BB20" s="303">
        <f ca="1">IF(AND(leveraged_property,down_payment&gt;0),IRR(($AL$4:AL19,AN20),),"N/A")</f>
        <v>1.2809824482652787E-2</v>
      </c>
      <c r="BC20" s="288">
        <f ca="1">IF(AND(leveraged_property,down_payment&gt;0),IRR(($AO$4:AO19,AQ20),),"N/A")</f>
        <v>1.2643560252710741E-2</v>
      </c>
      <c r="BD20" s="288">
        <f ca="1">IF(AND(leveraged_property,down_payment&gt;0),IRR(($AR$4:AR19,AT20),),"N/A")</f>
        <v>1.2476998738653258E-2</v>
      </c>
      <c r="BE20" s="288">
        <f ca="1">IF(AND(leveraged_property,down_payment&gt;0),IRR(($AU$4:AU19,AW20),),"N/A")</f>
        <v>1.2310153654810013E-2</v>
      </c>
      <c r="BF20" s="103"/>
      <c r="BG20" s="290">
        <f ca="1">IF(AND(leveraged_property,down_payment&gt;0),((1+AY20)^12)-1,"N/A")</f>
        <v>0.17190101484050846</v>
      </c>
      <c r="BH20" s="290">
        <f ca="1">IF(AND(leveraged_property,down_payment&gt;0),((1+AZ20)^12)-1,"N/A")</f>
        <v>0.16960919088476767</v>
      </c>
      <c r="BI20" s="290">
        <f ca="1">IF(AND(leveraged_property,down_payment&gt;0),((1+BA20)^12)-1,"N/A")</f>
        <v>0.16731677359430575</v>
      </c>
      <c r="BJ20" s="305">
        <f ca="1">IF(AND(leveraged_property,down_payment&gt;0),((1+BB20)^12)-1,"N/A")</f>
        <v>0.16502398192789869</v>
      </c>
      <c r="BK20" s="290">
        <f ca="1">IF(AND(leveraged_property,down_payment&gt;0),((1+BC20)^12)-1,"N/A")</f>
        <v>0.16273103000023936</v>
      </c>
      <c r="BL20" s="290">
        <f ca="1">IF(AND(leveraged_property,down_payment&gt;0),((1+BD20)^12)-1,"N/A")</f>
        <v>0.16043812682063341</v>
      </c>
      <c r="BM20" s="290">
        <f ca="1">IF(AND(leveraged_property,down_payment&gt;0),((1+BE20)^12)-1,"N/A")</f>
        <v>0.15814547606003115</v>
      </c>
    </row>
    <row r="21" spans="1:65">
      <c r="A21" s="137">
        <f>Model_Mthly!A21</f>
        <v>40678</v>
      </c>
      <c r="B21" s="138">
        <f>Model_Mthly!B21</f>
        <v>17</v>
      </c>
      <c r="C21" s="223"/>
      <c r="D21" s="139">
        <f>Model_Mthly!AQ21</f>
        <v>89311.669872034778</v>
      </c>
      <c r="E21" s="231">
        <f>IF(OR($H$3&lt;=0.0075,$H$3=""),0,SUM(Model_Mthly!AQ21,(SUM(Model_Mthly!Q22:Q33)/$E$3)*(1-cost_of_sale),-Model_Mthly!V21))</f>
        <v>14868339.776512997</v>
      </c>
      <c r="F21" s="231">
        <f>IF(OR($H$3&lt;=0.0075,$H$3=""),0,SUM(Model_Mthly!AQ21,(SUM(Model_Mthly!Q22:Q33)/$F$3)*(1-cost_of_sale),-Model_Mthly!V21))</f>
        <v>14065152.288016444</v>
      </c>
      <c r="G21" s="231">
        <f>IF(OR($H$3&lt;=0.0075,$H$3=""),0,SUM(Model_Mthly!AQ21,(SUM(Model_Mthly!Q22:Q33)/$G$3)*(1-cost_of_sale),-Model_Mthly!V21))</f>
        <v>13313783.34716483</v>
      </c>
      <c r="H21" s="232">
        <f>IF(OR($H$3&lt;=0.0075,$H$3=""),0,SUM(Model_Mthly!AQ21,(SUM(Model_Mthly!Q22:Q33)/$H$3)*(1-cost_of_sale),-Model_Mthly!V21))</f>
        <v>12609374.965116443</v>
      </c>
      <c r="I21" s="231">
        <f>IF(OR($H$3&lt;=0.0075,$H$3=""),0,SUM(Model_Mthly!AQ21,(SUM(Model_Mthly!Q22:Q33)/$I$3)*(1-cost_of_sale),-Model_Mthly!V21))</f>
        <v>11947658.000161896</v>
      </c>
      <c r="J21" s="231">
        <f>IF(OR($H$3&lt;=0.0075,$H$3=""),0,SUM(Model_Mthly!AQ21,(SUM(Model_Mthly!Q22:Q33)/$J$3)*(1-cost_of_sale),-Model_Mthly!V21))</f>
        <v>11324865.562557621</v>
      </c>
      <c r="K21" s="231">
        <f>IF(OR($H$3&lt;=0.0075,$H$3=""),0,SUM(Model_Mthly!AQ21,(SUM(Model_Mthly!Q22:Q33)/$K$3)*(1-cost_of_sale),-Model_Mthly!V21))</f>
        <v>10737661.264245013</v>
      </c>
      <c r="L21" s="160"/>
      <c r="M21" s="302">
        <f>IF(OR($H$3&lt;=0.0075,$H$3="",down_payment&lt;=0),"N/A",IRR(($D$4:D20,E21),))</f>
        <v>2.3256896606192609E-2</v>
      </c>
      <c r="N21" s="288">
        <f>IF(OR($H$3&lt;=0.0075,$H$3="",down_payment&lt;=0),"N/A",IRR(($D$4:D20,F21),))</f>
        <v>2.0093101033156861E-2</v>
      </c>
      <c r="O21" s="288">
        <f>IF(OR($H$3&lt;=0.0075,$H$3="",down_payment&lt;=0),"N/A",IRR(($D$4:D20,G21),))</f>
        <v>1.6980884976504344E-2</v>
      </c>
      <c r="P21" s="303">
        <f>IF(OR($H$3&lt;=0.0075,$H$3="",down_payment&lt;=0),"N/A",IRR(($D$4:D20,H21),))</f>
        <v>1.3914658811112849E-2</v>
      </c>
      <c r="Q21" s="288">
        <f>IF(OR($H$3&lt;=0.0075,$H$3="",down_payment&lt;=0),"N/A",IRR(($D$4:D20,I21),))</f>
        <v>1.0889220114594414E-2</v>
      </c>
      <c r="R21" s="288">
        <f>IF(OR($H$3&lt;=0.0075,$H$3="",down_payment&lt;=0),"N/A",IRR(($D$4:D20,J21),))</f>
        <v>7.8996950520359623E-3</v>
      </c>
      <c r="S21" s="288">
        <f>IF(OR($H$3&lt;=0.0075,$H$3="",down_payment&lt;=0),"N/A",IRR(($D$4:D20,K21),))</f>
        <v>4.9414870594037012E-3</v>
      </c>
      <c r="T21" s="233"/>
      <c r="U21" s="304">
        <f t="shared" si="4"/>
        <v>0.31769884396138415</v>
      </c>
      <c r="V21" s="304">
        <f t="shared" si="5"/>
        <v>0.26963160532348751</v>
      </c>
      <c r="W21" s="304">
        <f t="shared" si="6"/>
        <v>0.22392126577931482</v>
      </c>
      <c r="X21" s="305">
        <f t="shared" si="7"/>
        <v>0.18036635971727932</v>
      </c>
      <c r="Y21" s="304">
        <f t="shared" si="8"/>
        <v>0.1387877434021072</v>
      </c>
      <c r="Z21" s="304">
        <f t="shared" si="9"/>
        <v>9.9025490973331687E-2</v>
      </c>
      <c r="AA21" s="304">
        <f t="shared" si="10"/>
        <v>6.0936295423643649E-2</v>
      </c>
      <c r="AB21" s="103"/>
      <c r="AC21" s="149">
        <f>SUM(Model_Mthly!$Q21,-IF(AND(leveraged_property,B21&lt;=amort_period),-PMT(AC$3/12,amort_period,loan_amount),0))</f>
        <v>93695.12803220388</v>
      </c>
      <c r="AD21" s="149">
        <f>AD20+IF(AND(leveraged_property,$B21&lt;=amort_period),PPMT(AD$3/12,$B21,amort_period,loan_amount),0)</f>
        <v>9290246.9182210639</v>
      </c>
      <c r="AE21" s="149">
        <f ca="1">SUM(AC21,Model_Mthly!$AA21,-AD21)</f>
        <v>12640108.053311136</v>
      </c>
      <c r="AF21" s="149">
        <f>SUM(Model_Mthly!$Q21,-IF(AND(leveraged_property,B21&lt;=amort_period),-PMT(AF$3/12,amort_period,loan_amount),0))</f>
        <v>92253.570813846876</v>
      </c>
      <c r="AG21" s="149">
        <f>AG20+IF(AND(leveraged_property,$B21&lt;=amort_period),PPMT(AG$3/12,$B21,amort_period,loan_amount),0)</f>
        <v>9299344.6598879341</v>
      </c>
      <c r="AH21" s="149">
        <f ca="1">SUM(AF21,Model_Mthly!$AA21,-AG21)</f>
        <v>12629568.754425908</v>
      </c>
      <c r="AI21" s="149">
        <f>SUM(Model_Mthly!$Q21,-IF(AND(leveraged_property,B21&lt;=amort_period),-PMT(AI$3/12,amort_period,loan_amount),0))</f>
        <v>90792.273296520172</v>
      </c>
      <c r="AJ21" s="149">
        <f>AJ20+IF(AND(leveraged_property,$B21&lt;=amort_period),PPMT(AJ$3/12,$B21,amort_period,loan_amount),0)</f>
        <v>9308125.8682586774</v>
      </c>
      <c r="AK21" s="149">
        <f ca="1">SUM(AI21,Model_Mthly!$AA21,-AJ21)</f>
        <v>12619326.248537838</v>
      </c>
      <c r="AL21" s="229">
        <f>SUM(Model_Mthly!$Q21,-IF(AND(leveraged_property,B21&lt;=amort_period),-PMT(AL$3/12,amort_period,loan_amount),0))</f>
        <v>89311.669872034778</v>
      </c>
      <c r="AM21" s="229">
        <f>AM20+IF(AND(leveraged_property,$B21&lt;=amort_period),PPMT(AM$3/12,$B21,amort_period,loan_amount),0)</f>
        <v>9316596.548255587</v>
      </c>
      <c r="AN21" s="229">
        <f ca="1">SUM(AL21,Model_Mthly!$AA21,-AM21)</f>
        <v>12609374.965116443</v>
      </c>
      <c r="AO21" s="149">
        <f>SUM(Model_Mthly!$Q21,-IF(AND(leveraged_property,B21&lt;=amort_period),-PMT(AO$3/12,amort_period,loan_amount),0))</f>
        <v>87812.203637862578</v>
      </c>
      <c r="AP21" s="162">
        <f>AP20+IF(AND(leveraged_property,$B21&lt;=amort_period),PPMT(AP$3/12,$B21,amort_period,loan_amount),0)</f>
        <v>9324762.9031565655</v>
      </c>
      <c r="AQ21" s="149">
        <f ca="1">SUM(AO21,Model_Mthly!$AA21,-AP21)</f>
        <v>12599709.143981291</v>
      </c>
      <c r="AR21" s="149">
        <f>SUM(Model_Mthly!$Q21,-IF(AND(leveraged_property,B21&lt;=amort_period),-PMT(AR$3/12,amort_period,loan_amount),0))</f>
        <v>86294.325110487902</v>
      </c>
      <c r="AS21" s="162">
        <f>AS20+IF(AND(leveraged_property,$B21&lt;=amort_period),PPMT(AS$3/12,$B21,amort_period,loan_amount),0)</f>
        <v>9332631.3133638259</v>
      </c>
      <c r="AT21" s="149">
        <f ca="1">SUM(AR21,Model_Mthly!$AA21,-AS21)</f>
        <v>12590322.855246658</v>
      </c>
      <c r="AU21" s="149">
        <f>SUM(Model_Mthly!$Q21,-IF(AND(leveraged_property,B21&lt;=amort_period),-PMT(AU$3/12,amort_period,loan_amount),0))</f>
        <v>84758.490959492614</v>
      </c>
      <c r="AV21" s="162">
        <f>AV20+IF(AND(leveraged_property,$B21&lt;=amort_period),PPMT(AV$3/12,$B21,amort_period,loan_amount),0)</f>
        <v>9340208.3153192084</v>
      </c>
      <c r="AW21" s="149">
        <f ca="1">SUM(AU21,Model_Mthly!$AA21,-AV21)</f>
        <v>12581210.019140279</v>
      </c>
      <c r="AX21" s="103"/>
      <c r="AY21" s="288">
        <f ca="1">IF(AND(leveraged_property,down_payment&gt;0),IRR(($AC$4:AC20,AE21),),"N/A")</f>
        <v>1.4404039981046219E-2</v>
      </c>
      <c r="AZ21" s="288">
        <f ca="1">IF(AND(leveraged_property,down_payment&gt;0),IRR(($AF$4:AF20,AH21),),"N/A")</f>
        <v>1.424127371124718E-2</v>
      </c>
      <c r="BA21" s="288">
        <f ca="1">IF(AND(leveraged_property,down_payment&gt;0),IRR(($AI$4:AI20,AK21),),"N/A")</f>
        <v>1.4078141552760073E-2</v>
      </c>
      <c r="BB21" s="303">
        <f ca="1">IF(AND(leveraged_property,down_payment&gt;0),IRR(($AL$4:AL20,AN21),),"N/A")</f>
        <v>1.3914658811112849E-2</v>
      </c>
      <c r="BC21" s="288">
        <f ca="1">IF(AND(leveraged_property,down_payment&gt;0),IRR(($AO$4:AO20,AQ21),),"N/A")</f>
        <v>1.3750840551564751E-2</v>
      </c>
      <c r="BD21" s="288">
        <f ca="1">IF(AND(leveraged_property,down_payment&gt;0),IRR(($AR$4:AR20,AT21),),"N/A")</f>
        <v>1.3586701575912671E-2</v>
      </c>
      <c r="BE21" s="288">
        <f ca="1">IF(AND(leveraged_property,down_payment&gt;0),IRR(($AU$4:AU20,AW21),),"N/A")</f>
        <v>1.3422256401176995E-2</v>
      </c>
      <c r="BF21" s="103"/>
      <c r="BG21" s="290">
        <f ca="1">IF(AND(leveraged_property,down_payment&gt;0),((1+AY21)^12)-1,"N/A")</f>
        <v>0.18722119700133466</v>
      </c>
      <c r="BH21" s="290">
        <f ca="1">IF(AND(leveraged_property,down_payment&gt;0),((1+AZ21)^12)-1,"N/A")</f>
        <v>0.18493726537538557</v>
      </c>
      <c r="BI21" s="290">
        <f ca="1">IF(AND(leveraged_property,down_payment&gt;0),((1+BA21)^12)-1,"N/A")</f>
        <v>0.18265224144080583</v>
      </c>
      <c r="BJ21" s="305">
        <f ca="1">IF(AND(leveraged_property,down_payment&gt;0),((1+BB21)^12)-1,"N/A")</f>
        <v>0.18036635971727932</v>
      </c>
      <c r="BK21" s="290">
        <f ca="1">IF(AND(leveraged_property,down_payment&gt;0),((1+BC21)^12)-1,"N/A")</f>
        <v>0.17807984983761771</v>
      </c>
      <c r="BL21" s="290">
        <f ca="1">IF(AND(leveraged_property,down_payment&gt;0),((1+BD21)^12)-1,"N/A")</f>
        <v>0.17579293625262982</v>
      </c>
      <c r="BM21" s="290">
        <f ca="1">IF(AND(leveraged_property,down_payment&gt;0),((1+BE21)^12)-1,"N/A")</f>
        <v>0.17350583796599528</v>
      </c>
    </row>
    <row r="22" spans="1:65">
      <c r="A22" s="137">
        <f>Model_Mthly!A22</f>
        <v>40709</v>
      </c>
      <c r="B22" s="138">
        <f>Model_Mthly!B22</f>
        <v>18</v>
      </c>
      <c r="C22" s="223"/>
      <c r="D22" s="139">
        <f>Model_Mthly!AQ22</f>
        <v>81661.669872034778</v>
      </c>
      <c r="E22" s="231">
        <f>IF(OR($H$3&lt;=0.0075,$H$3=""),0,SUM(Model_Mthly!AQ22,(SUM(Model_Mthly!Q23:Q34)/$E$3)*(1-cost_of_sale),-Model_Mthly!V22))</f>
        <v>15202366.37033502</v>
      </c>
      <c r="F22" s="231">
        <f>IF(OR($H$3&lt;=0.0075,$H$3=""),0,SUM(Model_Mthly!AQ22,(SUM(Model_Mthly!Q23:Q34)/$F$3)*(1-cost_of_sale),-Model_Mthly!V22))</f>
        <v>14388164.291631572</v>
      </c>
      <c r="G22" s="231">
        <f>IF(OR($H$3&lt;=0.0075,$H$3=""),0,SUM(Model_Mthly!AQ22,(SUM(Model_Mthly!Q23:Q34)/$G$3)*(1-cost_of_sale),-Model_Mthly!V22))</f>
        <v>13626491.379296087</v>
      </c>
      <c r="H22" s="232">
        <f>IF(OR($H$3&lt;=0.0075,$H$3=""),0,SUM(Model_Mthly!AQ22,(SUM(Model_Mthly!Q23:Q34)/$H$3)*(1-cost_of_sale),-Model_Mthly!V22))</f>
        <v>12912423.023981571</v>
      </c>
      <c r="I22" s="231">
        <f>IF(OR($H$3&lt;=0.0075,$H$3=""),0,SUM(Model_Mthly!AQ22,(SUM(Model_Mthly!Q23:Q34)/$I$3)*(1-cost_of_sale),-Model_Mthly!V22))</f>
        <v>12241631.538686115</v>
      </c>
      <c r="J22" s="231">
        <f>IF(OR($H$3&lt;=0.0075,$H$3=""),0,SUM(Model_Mthly!AQ22,(SUM(Model_Mthly!Q23:Q34)/$J$3)*(1-cost_of_sale),-Model_Mthly!V22))</f>
        <v>11610298.376055099</v>
      </c>
      <c r="K22" s="231">
        <f>IF(OR($H$3&lt;=0.0075,$H$3=""),0,SUM(Model_Mthly!AQ22,(SUM(Model_Mthly!Q23:Q34)/$K$3)*(1-cost_of_sale),-Model_Mthly!V22))</f>
        <v>11015041.394145854</v>
      </c>
      <c r="L22" s="160"/>
      <c r="M22" s="302">
        <f>IF(OR($H$3&lt;=0.0075,$H$3="",down_payment&lt;=0),"N/A",IRR(($D$4:D21,E22),))</f>
        <v>2.3539404735860879E-2</v>
      </c>
      <c r="N22" s="288">
        <f>IF(OR($H$3&lt;=0.0075,$H$3="",down_payment&lt;=0),"N/A",IRR(($D$4:D21,F22),))</f>
        <v>2.0584589517637048E-2</v>
      </c>
      <c r="O22" s="288">
        <f>IF(OR($H$3&lt;=0.0075,$H$3="",down_payment&lt;=0),"N/A",IRR(($D$4:D21,G22),))</f>
        <v>1.7679034658783711E-2</v>
      </c>
      <c r="P22" s="303">
        <f>IF(OR($H$3&lt;=0.0075,$H$3="",down_payment&lt;=0),"N/A",IRR(($D$4:D21,H22),))</f>
        <v>1.4817555494704869E-2</v>
      </c>
      <c r="Q22" s="288">
        <f>IF(OR($H$3&lt;=0.0075,$H$3="",down_payment&lt;=0),"N/A",IRR(($D$4:D21,I22),))</f>
        <v>1.1995334918827779E-2</v>
      </c>
      <c r="R22" s="288">
        <f>IF(OR($H$3&lt;=0.0075,$H$3="",down_payment&lt;=0),"N/A",IRR(($D$4:D21,J22),))</f>
        <v>9.2078690568283515E-3</v>
      </c>
      <c r="S22" s="288">
        <f>IF(OR($H$3&lt;=0.0075,$H$3="",down_payment&lt;=0),"N/A",IRR(($D$4:D21,K22),))</f>
        <v>6.4509198446366222E-3</v>
      </c>
      <c r="T22" s="233"/>
      <c r="U22" s="304">
        <f t="shared" si="4"/>
        <v>0.32207107651988398</v>
      </c>
      <c r="V22" s="304">
        <f t="shared" si="5"/>
        <v>0.27699170482160151</v>
      </c>
      <c r="W22" s="304">
        <f t="shared" si="6"/>
        <v>0.23404197405814609</v>
      </c>
      <c r="X22" s="305">
        <f t="shared" si="7"/>
        <v>0.19304179576488267</v>
      </c>
      <c r="Y22" s="304">
        <f t="shared" si="8"/>
        <v>0.15383079561805402</v>
      </c>
      <c r="Z22" s="304">
        <f t="shared" si="9"/>
        <v>0.11626559155566274</v>
      </c>
      <c r="AA22" s="304">
        <f t="shared" si="10"/>
        <v>8.0217511688786436E-2</v>
      </c>
      <c r="AB22" s="103"/>
      <c r="AC22" s="149">
        <f>SUM(Model_Mthly!$Q22,-IF(AND(leveraged_property,B22&lt;=amort_period),-PMT(AC$3/12,amort_period,loan_amount),0))</f>
        <v>86045.12803220388</v>
      </c>
      <c r="AD22" s="149">
        <f>AD21+IF(AND(leveraged_property,$B22&lt;=amort_period),PPMT(AD$3/12,$B22,amort_period,loan_amount),0)</f>
        <v>9277464.3153045587</v>
      </c>
      <c r="AE22" s="149">
        <f ca="1">SUM(AC22,Model_Mthly!$AA22,-AD22)</f>
        <v>12944699.827477641</v>
      </c>
      <c r="AF22" s="149">
        <f>SUM(Model_Mthly!$Q22,-IF(AND(leveraged_property,B22&lt;=amort_period),-PMT(AF$3/12,amort_period,loan_amount),0))</f>
        <v>84603.570813846876</v>
      </c>
      <c r="AG22" s="149">
        <f>AG21+IF(AND(leveraged_property,$B22&lt;=amort_period),PPMT(AG$3/12,$B22,amort_period,loan_amount),0)</f>
        <v>9287093.8751179799</v>
      </c>
      <c r="AH22" s="149">
        <f ca="1">SUM(AF22,Model_Mthly!$AA22,-AG22)</f>
        <v>12933628.710445862</v>
      </c>
      <c r="AI22" s="149">
        <f>SUM(Model_Mthly!$Q22,-IF(AND(leveraged_property,B22&lt;=amort_period),-PMT(AI$3/12,amort_period,loan_amount),0))</f>
        <v>83142.273296520172</v>
      </c>
      <c r="AJ22" s="149">
        <f>AJ21+IF(AND(leveraged_property,$B22&lt;=amort_period),PPMT(AJ$3/12,$B22,amort_period,loan_amount),0)</f>
        <v>9296389.5672288295</v>
      </c>
      <c r="AK22" s="149">
        <f ca="1">SUM(AI22,Model_Mthly!$AA22,-AJ22)</f>
        <v>12922871.720817687</v>
      </c>
      <c r="AL22" s="229">
        <f>SUM(Model_Mthly!$Q22,-IF(AND(leveraged_property,B22&lt;=amort_period),-PMT(AL$3/12,amort_period,loan_amount),0))</f>
        <v>81661.669872034778</v>
      </c>
      <c r="AM22" s="229">
        <f>AM21+IF(AND(leveraged_property,$B22&lt;=amort_period),PPMT(AM$3/12,$B22,amort_period,loan_amount),0)</f>
        <v>9305357.6606404595</v>
      </c>
      <c r="AN22" s="229">
        <f ca="1">SUM(AL22,Model_Mthly!$AA22,-AM22)</f>
        <v>12912423.023981571</v>
      </c>
      <c r="AO22" s="149">
        <f>SUM(Model_Mthly!$Q22,-IF(AND(leveraged_property,B22&lt;=amort_period),-PMT(AO$3/12,amort_period,loan_amount),0))</f>
        <v>80162.203637862578</v>
      </c>
      <c r="AP22" s="162">
        <f>AP21+IF(AND(leveraged_property,$B22&lt;=amort_period),PPMT(AP$3/12,$B22,amort_period,loan_amount),0)</f>
        <v>9314004.6373720542</v>
      </c>
      <c r="AQ22" s="149">
        <f ca="1">SUM(AO22,Model_Mthly!$AA22,-AP22)</f>
        <v>12902276.581015803</v>
      </c>
      <c r="AR22" s="149">
        <f>SUM(Model_Mthly!$Q22,-IF(AND(leveraged_property,B22&lt;=amort_period),-PMT(AR$3/12,amort_period,loan_amount),0))</f>
        <v>78644.325110487902</v>
      </c>
      <c r="AS22" s="162">
        <f>AS21+IF(AND(leveraged_property,$B22&lt;=amort_period),PPMT(AS$3/12,$B22,amort_period,loan_amount),0)</f>
        <v>9322337.1700411327</v>
      </c>
      <c r="AT22" s="149">
        <f ca="1">SUM(AR22,Model_Mthly!$AA22,-AS22)</f>
        <v>12892426.169819351</v>
      </c>
      <c r="AU22" s="149">
        <f>SUM(Model_Mthly!$Q22,-IF(AND(leveraged_property,B22&lt;=amort_period),-PMT(AU$3/12,amort_period,loan_amount),0))</f>
        <v>77108.490959492614</v>
      </c>
      <c r="AV22" s="162">
        <f>AV21+IF(AND(leveraged_property,$B22&lt;=amort_period),PPMT(AV$3/12,$B22,amort_period,loan_amount),0)</f>
        <v>9330362.0995876547</v>
      </c>
      <c r="AW22" s="149">
        <f ca="1">SUM(AU22,Model_Mthly!$AA22,-AV22)</f>
        <v>12882865.406121833</v>
      </c>
      <c r="AX22" s="103"/>
      <c r="AY22" s="288">
        <f ca="1">IF(AND(leveraged_property,down_payment&gt;0),IRR(($AC$4:AC21,AE22),),"N/A")</f>
        <v>1.5299960599731457E-2</v>
      </c>
      <c r="AZ22" s="288">
        <f ca="1">IF(AND(leveraged_property,down_payment&gt;0),IRR(($AF$4:AF21,AH22),),"N/A")</f>
        <v>1.5139543449533192E-2</v>
      </c>
      <c r="BA22" s="288">
        <f ca="1">IF(AND(leveraged_property,down_payment&gt;0),IRR(($AI$4:AI21,AK22),),"N/A")</f>
        <v>1.4978736397966055E-2</v>
      </c>
      <c r="BB22" s="303">
        <f ca="1">IF(AND(leveraged_property,down_payment&gt;0),IRR(($AL$4:AL21,AN22),),"N/A")</f>
        <v>1.4817555494704869E-2</v>
      </c>
      <c r="BC22" s="288">
        <f ca="1">IF(AND(leveraged_property,down_payment&gt;0),IRR(($AO$4:AO21,AQ22),),"N/A")</f>
        <v>1.4656016553868556E-2</v>
      </c>
      <c r="BD22" s="288">
        <f ca="1">IF(AND(leveraged_property,down_payment&gt;0),IRR(($AR$4:AR21,AT22),),"N/A")</f>
        <v>1.4494135128871965E-2</v>
      </c>
      <c r="BE22" s="288">
        <f ca="1">IF(AND(leveraged_property,down_payment&gt;0),IRR(($AU$4:AU21,AW22),),"N/A")</f>
        <v>1.4331926489232989E-2</v>
      </c>
      <c r="BF22" s="103"/>
      <c r="BG22" s="290">
        <f ca="1">IF(AND(leveraged_property,down_payment&gt;0),((1+AY22)^12)-1,"N/A")</f>
        <v>0.19986512929358557</v>
      </c>
      <c r="BH22" s="290">
        <f ca="1">IF(AND(leveraged_property,down_payment&gt;0),((1+AZ22)^12)-1,"N/A")</f>
        <v>0.19759216434247628</v>
      </c>
      <c r="BI22" s="290">
        <f ca="1">IF(AND(leveraged_property,down_payment&gt;0),((1+BA22)^12)-1,"N/A")</f>
        <v>0.1953176368420988</v>
      </c>
      <c r="BJ22" s="305">
        <f ca="1">IF(AND(leveraged_property,down_payment&gt;0),((1+BB22)^12)-1,"N/A")</f>
        <v>0.19304179576488267</v>
      </c>
      <c r="BK22" s="290">
        <f ca="1">IF(AND(leveraged_property,down_payment&gt;0),((1+BC22)^12)-1,"N/A")</f>
        <v>0.19076488516851375</v>
      </c>
      <c r="BL22" s="290">
        <f ca="1">IF(AND(leveraged_property,down_payment&gt;0),((1+BD22)^12)-1,"N/A")</f>
        <v>0.18848714386847076</v>
      </c>
      <c r="BM22" s="290">
        <f ca="1">IF(AND(leveraged_property,down_payment&gt;0),((1+BE22)^12)-1,"N/A")</f>
        <v>0.18620880514227189</v>
      </c>
    </row>
    <row r="23" spans="1:65">
      <c r="A23" s="137">
        <f>Model_Mthly!A23</f>
        <v>40739</v>
      </c>
      <c r="B23" s="138">
        <f>Model_Mthly!B23</f>
        <v>19</v>
      </c>
      <c r="C23" s="223"/>
      <c r="D23" s="139">
        <f>Model_Mthly!AQ23</f>
        <v>81839.619872034789</v>
      </c>
      <c r="E23" s="231">
        <f>IF(OR($H$3&lt;=0.0075,$H$3=""),0,SUM(Model_Mthly!AQ23,(SUM(Model_Mthly!Q24:Q35)/$E$3)*(1-cost_of_sale),-Model_Mthly!V23))</f>
        <v>15539638.65488942</v>
      </c>
      <c r="F23" s="231">
        <f>IF(OR($H$3&lt;=0.0075,$H$3=""),0,SUM(Model_Mthly!AQ23,(SUM(Model_Mthly!Q24:Q35)/$F$3)*(1-cost_of_sale),-Model_Mthly!V23))</f>
        <v>14714576.445006933</v>
      </c>
      <c r="G23" s="231">
        <f>IF(OR($H$3&lt;=0.0075,$H$3=""),0,SUM(Model_Mthly!AQ23,(SUM(Model_Mthly!Q24:Q35)/$G$3)*(1-cost_of_sale),-Model_Mthly!V23))</f>
        <v>13942744.05511687</v>
      </c>
      <c r="H23" s="232">
        <f>IF(OR($H$3&lt;=0.0075,$H$3=""),0,SUM(Model_Mthly!AQ23,(SUM(Model_Mthly!Q24:Q35)/$H$3)*(1-cost_of_sale),-Model_Mthly!V23))</f>
        <v>13219151.189594936</v>
      </c>
      <c r="I23" s="231">
        <f>IF(OR($H$3&lt;=0.0075,$H$3=""),0,SUM(Model_Mthly!AQ23,(SUM(Model_Mthly!Q24:Q35)/$I$3)*(1-cost_of_sale),-Model_Mthly!V23))</f>
        <v>12539412.437134933</v>
      </c>
      <c r="J23" s="231">
        <f>IF(OR($H$3&lt;=0.0075,$H$3=""),0,SUM(Model_Mthly!AQ23,(SUM(Model_Mthly!Q24:Q35)/$J$3)*(1-cost_of_sale),-Model_Mthly!V23))</f>
        <v>11899658.317172579</v>
      </c>
      <c r="K23" s="231">
        <f>IF(OR($H$3&lt;=0.0075,$H$3=""),0,SUM(Model_Mthly!AQ23,(SUM(Model_Mthly!Q24:Q35)/$K$3)*(1-cost_of_sale),-Model_Mthly!V23))</f>
        <v>11296461.57549379</v>
      </c>
      <c r="L23" s="160"/>
      <c r="M23" s="302">
        <f>IF(OR($H$3&lt;=0.0075,$H$3="",down_payment&lt;=0),"N/A",IRR(($D$4:D22,E23),))</f>
        <v>2.3746062438397549E-2</v>
      </c>
      <c r="N23" s="288">
        <f>IF(OR($H$3&lt;=0.0075,$H$3="",down_payment&lt;=0),"N/A",IRR(($D$4:D22,F23),))</f>
        <v>2.097685769953439E-2</v>
      </c>
      <c r="O23" s="288">
        <f>IF(OR($H$3&lt;=0.0075,$H$3="",down_payment&lt;=0),"N/A",IRR(($D$4:D22,G23),))</f>
        <v>1.8254821872809867E-2</v>
      </c>
      <c r="P23" s="303">
        <f>IF(OR($H$3&lt;=0.0075,$H$3="",down_payment&lt;=0),"N/A",IRR(($D$4:D22,H23),))</f>
        <v>1.5575124401116028E-2</v>
      </c>
      <c r="Q23" s="288">
        <f>IF(OR($H$3&lt;=0.0075,$H$3="",down_payment&lt;=0),"N/A",IRR(($D$4:D22,I23),))</f>
        <v>1.2933284469993658E-2</v>
      </c>
      <c r="R23" s="288">
        <f>IF(OR($H$3&lt;=0.0075,$H$3="",down_payment&lt;=0),"N/A",IRR(($D$4:D22,J23),))</f>
        <v>1.0325120398201366E-2</v>
      </c>
      <c r="S23" s="288">
        <f>IF(OR($H$3&lt;=0.0075,$H$3="",down_payment&lt;=0),"N/A",IRR(($D$4:D22,K23),))</f>
        <v>7.7467055731834256E-3</v>
      </c>
      <c r="T23" s="233"/>
      <c r="U23" s="304">
        <f t="shared" si="4"/>
        <v>0.32527782879143929</v>
      </c>
      <c r="V23" s="304">
        <f t="shared" si="5"/>
        <v>0.28289401033168904</v>
      </c>
      <c r="W23" s="304">
        <f t="shared" si="6"/>
        <v>0.24244652002891964</v>
      </c>
      <c r="X23" s="305">
        <f t="shared" si="7"/>
        <v>0.20377316091141018</v>
      </c>
      <c r="Y23" s="304">
        <f t="shared" si="8"/>
        <v>0.16672930090070448</v>
      </c>
      <c r="Z23" s="304">
        <f t="shared" si="9"/>
        <v>0.13118546315591528</v>
      </c>
      <c r="AA23" s="304">
        <f t="shared" si="10"/>
        <v>9.7025303395589235E-2</v>
      </c>
      <c r="AB23" s="103"/>
      <c r="AC23" s="149">
        <f>SUM(Model_Mthly!$Q23,-IF(AND(leveraged_property,B23&lt;=amort_period),-PMT(AC$3/12,amort_period,loan_amount),0))</f>
        <v>86223.078032203892</v>
      </c>
      <c r="AD23" s="149">
        <f>AD22+IF(AND(leveraged_property,$B23&lt;=amort_period),PPMT(AD$3/12,$B23,amort_period,loan_amount),0)</f>
        <v>9264631.1145848427</v>
      </c>
      <c r="AE23" s="149">
        <f ca="1">SUM(AC23,Model_Mthly!$AA23,-AD23)</f>
        <v>13252970.794627359</v>
      </c>
      <c r="AF23" s="149">
        <f>SUM(Model_Mthly!$Q23,-IF(AND(leveraged_property,B23&lt;=amort_period),-PMT(AF$3/12,amort_period,loan_amount),0))</f>
        <v>84781.520813846888</v>
      </c>
      <c r="AG23" s="149">
        <f>AG22+IF(AND(leveraged_property,$B23&lt;=amort_period),PPMT(AG$3/12,$B23,amort_period,loan_amount),0)</f>
        <v>9274792.0454114843</v>
      </c>
      <c r="AH23" s="149">
        <f ca="1">SUM(AF23,Model_Mthly!$AA23,-AG23)</f>
        <v>13241368.30658236</v>
      </c>
      <c r="AI23" s="149">
        <f>SUM(Model_Mthly!$Q23,-IF(AND(leveraged_property,B23&lt;=amort_period),-PMT(AI$3/12,amort_period,loan_amount),0))</f>
        <v>83320.223296520184</v>
      </c>
      <c r="AJ23" s="149">
        <f>AJ22+IF(AND(leveraged_property,$B23&lt;=amort_period),PPMT(AJ$3/12,$B23,amort_period,loan_amount),0)</f>
        <v>9284601.9198819753</v>
      </c>
      <c r="AK23" s="149">
        <f ca="1">SUM(AI23,Model_Mthly!$AA23,-AJ23)</f>
        <v>13230097.134594543</v>
      </c>
      <c r="AL23" s="229">
        <f>SUM(Model_Mthly!$Q23,-IF(AND(leveraged_property,B23&lt;=amort_period),-PMT(AL$3/12,amort_period,loan_amount),0))</f>
        <v>81839.619872034789</v>
      </c>
      <c r="AM23" s="229">
        <f>AM22+IF(AND(leveraged_property,$B23&lt;=amort_period),PPMT(AM$3/12,$B23,amort_period,loan_amount),0)</f>
        <v>9294067.2614570968</v>
      </c>
      <c r="AN23" s="229">
        <f ca="1">SUM(AL23,Model_Mthly!$AA23,-AM23)</f>
        <v>13219151.189594936</v>
      </c>
      <c r="AO23" s="149">
        <f>SUM(Model_Mthly!$Q23,-IF(AND(leveraged_property,B23&lt;=amort_period),-PMT(AO$3/12,amort_period,loan_amount),0))</f>
        <v>80340.15363786259</v>
      </c>
      <c r="AP23" s="162">
        <f>AP22+IF(AND(leveraged_property,$B23&lt;=amort_period),PPMT(AP$3/12,$B23,amort_period,loan_amount),0)</f>
        <v>9303194.8215639908</v>
      </c>
      <c r="AQ23" s="149">
        <f ca="1">SUM(AO23,Model_Mthly!$AA23,-AP23)</f>
        <v>13208524.163253872</v>
      </c>
      <c r="AR23" s="149">
        <f>SUM(Model_Mthly!$Q23,-IF(AND(leveraged_property,B23&lt;=amort_period),-PMT(AR$3/12,amort_period,loan_amount),0))</f>
        <v>78822.275110487913</v>
      </c>
      <c r="AS23" s="162">
        <f>AS22+IF(AND(leveraged_property,$B23&lt;=amort_period),PPMT(AS$3/12,$B23,amort_period,loan_amount),0)</f>
        <v>9311991.5560018271</v>
      </c>
      <c r="AT23" s="149">
        <f ca="1">SUM(AR23,Model_Mthly!$AA23,-AS23)</f>
        <v>13198209.550288659</v>
      </c>
      <c r="AU23" s="149">
        <f>SUM(Model_Mthly!$Q23,-IF(AND(leveraged_property,B23&lt;=amort_period),-PMT(AU$3/12,amort_period,loan_amount),0))</f>
        <v>77286.440959492626</v>
      </c>
      <c r="AV23" s="162">
        <f>AV22+IF(AND(leveraged_property,$B23&lt;=amort_period),PPMT(AV$3/12,$B23,amort_period,loan_amount),0)</f>
        <v>9320464.6014824994</v>
      </c>
      <c r="AW23" s="149">
        <f ca="1">SUM(AU23,Model_Mthly!$AA23,-AV23)</f>
        <v>13188200.67065699</v>
      </c>
      <c r="AX23" s="103"/>
      <c r="AY23" s="288">
        <f ca="1">IF(AND(leveraged_property,down_payment&gt;0),IRR(($AC$4:AC22,AE23),),"N/A")</f>
        <v>1.6050904699923256E-2</v>
      </c>
      <c r="AZ23" s="288">
        <f ca="1">IF(AND(leveraged_property,down_payment&gt;0),IRR(($AF$4:AF22,AH23),),"N/A")</f>
        <v>1.5892718051565977E-2</v>
      </c>
      <c r="BA23" s="288">
        <f ca="1">IF(AND(leveraged_property,down_payment&gt;0),IRR(($AI$4:AI22,AK23),),"N/A")</f>
        <v>1.5734119035790566E-2</v>
      </c>
      <c r="BB23" s="303">
        <f ca="1">IF(AND(leveraged_property,down_payment&gt;0),IRR(($AL$4:AL22,AN23),),"N/A")</f>
        <v>1.5575124401116028E-2</v>
      </c>
      <c r="BC23" s="288">
        <f ca="1">IF(AND(leveraged_property,down_payment&gt;0),IRR(($AO$4:AO22,AQ23),),"N/A")</f>
        <v>1.5415750665322098E-2</v>
      </c>
      <c r="BD23" s="288">
        <f ca="1">IF(AND(leveraged_property,down_payment&gt;0),IRR(($AR$4:AR22,AT23),),"N/A")</f>
        <v>1.5256014088445374E-2</v>
      </c>
      <c r="BE23" s="288">
        <f ca="1">IF(AND(leveraged_property,down_payment&gt;0),IRR(($AU$4:AU22,AW23),),"N/A")</f>
        <v>1.5095930647787822E-2</v>
      </c>
      <c r="BF23" s="103"/>
      <c r="BG23" s="290">
        <f ca="1">IF(AND(leveraged_property,down_payment&gt;0),((1+AY23)^12)-1,"N/A")</f>
        <v>0.21055800132451563</v>
      </c>
      <c r="BH23" s="290">
        <f ca="1">IF(AND(leveraged_property,down_payment&gt;0),((1+AZ23)^12)-1,"N/A")</f>
        <v>0.20829830873625044</v>
      </c>
      <c r="BI23" s="290">
        <f ca="1">IF(AND(leveraged_property,down_payment&gt;0),((1+BA23)^12)-1,"N/A")</f>
        <v>0.20603660777843191</v>
      </c>
      <c r="BJ23" s="305">
        <f ca="1">IF(AND(leveraged_property,down_payment&gt;0),((1+BB23)^12)-1,"N/A")</f>
        <v>0.20377316091141018</v>
      </c>
      <c r="BK23" s="290">
        <f ca="1">IF(AND(leveraged_property,down_payment&gt;0),((1+BC23)^12)-1,"N/A")</f>
        <v>0.20150822566780313</v>
      </c>
      <c r="BL23" s="290">
        <f ca="1">IF(AND(leveraged_property,down_payment&gt;0),((1+BD23)^12)-1,"N/A")</f>
        <v>0.19924205429414665</v>
      </c>
      <c r="BM23" s="290">
        <f ca="1">IF(AND(leveraged_property,down_payment&gt;0),((1+BE23)^12)-1,"N/A")</f>
        <v>0.19697489342553065</v>
      </c>
    </row>
    <row r="24" spans="1:65">
      <c r="A24" s="137">
        <f>Model_Mthly!A24</f>
        <v>40770</v>
      </c>
      <c r="B24" s="138">
        <f>Model_Mthly!B24</f>
        <v>20</v>
      </c>
      <c r="C24" s="223"/>
      <c r="D24" s="139">
        <f>Model_Mthly!AQ24</f>
        <v>93991.669872034778</v>
      </c>
      <c r="E24" s="231">
        <f>IF(OR($H$3&lt;=0.0075,$H$3=""),0,SUM(Model_Mthly!AQ24,(SUM(Model_Mthly!Q25:Q36)/$E$3)*(1-cost_of_sale),-Model_Mthly!V24))</f>
        <v>15898060.378632255</v>
      </c>
      <c r="F24" s="231">
        <f>IF(OR($H$3&lt;=0.0075,$H$3=""),0,SUM(Model_Mthly!AQ24,(SUM(Model_Mthly!Q25:Q36)/$F$3)*(1-cost_of_sale),-Model_Mthly!V24))</f>
        <v>15061833.917853221</v>
      </c>
      <c r="G24" s="231">
        <f>IF(OR($H$3&lt;=0.0075,$H$3=""),0,SUM(Model_Mthly!AQ24,(SUM(Model_Mthly!Q25:Q36)/$G$3)*(1-cost_of_sale),-Model_Mthly!V24))</f>
        <v>14279557.551317997</v>
      </c>
      <c r="H24" s="232">
        <f>IF(OR($H$3&lt;=0.0075,$H$3=""),0,SUM(Model_Mthly!AQ24,(SUM(Model_Mthly!Q25:Q36)/$H$3)*(1-cost_of_sale),-Model_Mthly!V24))</f>
        <v>13546173.457691219</v>
      </c>
      <c r="I24" s="231">
        <f>IF(OR($H$3&lt;=0.0075,$H$3=""),0,SUM(Model_Mthly!AQ24,(SUM(Model_Mthly!Q25:Q36)/$I$3)*(1-cost_of_sale),-Model_Mthly!V24))</f>
        <v>12857236.884890314</v>
      </c>
      <c r="J24" s="231">
        <f>IF(OR($H$3&lt;=0.0075,$H$3=""),0,SUM(Model_Mthly!AQ24,(SUM(Model_Mthly!Q25:Q36)/$J$3)*(1-cost_of_sale),-Model_Mthly!V24))</f>
        <v>12208825.992842395</v>
      </c>
      <c r="K24" s="231">
        <f>IF(OR($H$3&lt;=0.0075,$H$3=""),0,SUM(Model_Mthly!AQ24,(SUM(Model_Mthly!Q25:Q36)/$K$3)*(1-cost_of_sale),-Model_Mthly!V24))</f>
        <v>11597467.151768651</v>
      </c>
      <c r="L24" s="160"/>
      <c r="M24" s="302">
        <f>IF(OR($H$3&lt;=0.0075,$H$3="",down_payment&lt;=0),"N/A",IRR(($D$4:D23,E24),))</f>
        <v>2.3968667650935725E-2</v>
      </c>
      <c r="N24" s="288">
        <f>IF(OR($H$3&lt;=0.0075,$H$3="",down_payment&lt;=0),"N/A",IRR(($D$4:D23,F24),))</f>
        <v>2.1367778343286504E-2</v>
      </c>
      <c r="O24" s="288">
        <f>IF(OR($H$3&lt;=0.0075,$H$3="",down_payment&lt;=0),"N/A",IRR(($D$4:D23,G24),))</f>
        <v>1.8812249299512831E-2</v>
      </c>
      <c r="P24" s="303">
        <f>IF(OR($H$3&lt;=0.0075,$H$3="",down_payment&lt;=0),"N/A",IRR(($D$4:D23,H24),))</f>
        <v>1.6297566977166392E-2</v>
      </c>
      <c r="Q24" s="288">
        <f>IF(OR($H$3&lt;=0.0075,$H$3="",down_payment&lt;=0),"N/A",IRR(($D$4:D23,I24),))</f>
        <v>1.3819551763091711E-2</v>
      </c>
      <c r="R24" s="288">
        <f>IF(OR($H$3&lt;=0.0075,$H$3="",down_payment&lt;=0),"N/A",IRR(($D$4:D23,J24),))</f>
        <v>1.1374310653052951E-2</v>
      </c>
      <c r="S24" s="288">
        <f>IF(OR($H$3&lt;=0.0075,$H$3="",down_payment&lt;=0),"N/A",IRR(($D$4:D23,K24),))</f>
        <v>8.958196154651623E-3</v>
      </c>
      <c r="T24" s="233"/>
      <c r="U24" s="304">
        <f t="shared" si="4"/>
        <v>0.32874001733890457</v>
      </c>
      <c r="V24" s="304">
        <f t="shared" si="5"/>
        <v>0.28880090886354925</v>
      </c>
      <c r="W24" s="304">
        <f t="shared" si="6"/>
        <v>0.25063303079038168</v>
      </c>
      <c r="X24" s="305">
        <f t="shared" si="7"/>
        <v>0.21408929694143208</v>
      </c>
      <c r="Y24" s="304">
        <f t="shared" si="8"/>
        <v>0.17903839870369387</v>
      </c>
      <c r="Z24" s="304">
        <f t="shared" si="9"/>
        <v>0.14536265328892339</v>
      </c>
      <c r="AA24" s="304">
        <f t="shared" si="10"/>
        <v>0.1129561957030123</v>
      </c>
      <c r="AB24" s="103"/>
      <c r="AC24" s="149">
        <f>SUM(Model_Mthly!$Q24,-IF(AND(leveraged_property,B24&lt;=amort_period),-PMT(AC$3/12,amort_period,loan_amount),0))</f>
        <v>98375.12803220388</v>
      </c>
      <c r="AD24" s="149">
        <f>AD23+IF(AND(leveraged_property,$B24&lt;=amort_period),PPMT(AD$3/12,$B24,amort_period,loan_amount),0)</f>
        <v>9251747.1157789454</v>
      </c>
      <c r="AE24" s="149">
        <f ca="1">SUM(AC24,Model_Mthly!$AA24,-AD24)</f>
        <v>13581534.914683253</v>
      </c>
      <c r="AF24" s="149">
        <f>SUM(Model_Mthly!$Q24,-IF(AND(leveraged_property,B24&lt;=amort_period),-PMT(AF$3/12,amort_period,loan_amount),0))</f>
        <v>96933.570813846876</v>
      </c>
      <c r="AG24" s="149">
        <f>AG23+IF(AND(leveraged_property,$B24&lt;=amort_period),PPMT(AG$3/12,$B24,amort_period,loan_amount),0)</f>
        <v>9262438.9580812119</v>
      </c>
      <c r="AH24" s="149">
        <f ca="1">SUM(AF24,Model_Mthly!$AA24,-AG24)</f>
        <v>13569401.515162628</v>
      </c>
      <c r="AI24" s="149">
        <f>SUM(Model_Mthly!$Q24,-IF(AND(leveraged_property,B24&lt;=amort_period),-PMT(AI$3/12,amort_period,loan_amount),0))</f>
        <v>95472.273296520172</v>
      </c>
      <c r="AJ24" s="149">
        <f>AJ23+IF(AND(leveraged_property,$B24&lt;=amort_period),PPMT(AJ$3/12,$B24,amort_period,loan_amount),0)</f>
        <v>9272762.7015779782</v>
      </c>
      <c r="AK24" s="149">
        <f ca="1">SUM(AI24,Model_Mthly!$AA24,-AJ24)</f>
        <v>13557616.474148536</v>
      </c>
      <c r="AL24" s="229">
        <f>SUM(Model_Mthly!$Q24,-IF(AND(leveraged_property,B24&lt;=amort_period),-PMT(AL$3/12,amort_period,loan_amount),0))</f>
        <v>93991.669872034778</v>
      </c>
      <c r="AM24" s="229">
        <f>AM23+IF(AND(leveraged_property,$B24&lt;=amort_period),PPMT(AM$3/12,$B24,amort_period,loan_amount),0)</f>
        <v>9282725.1146108098</v>
      </c>
      <c r="AN24" s="229">
        <f ca="1">SUM(AL24,Model_Mthly!$AA24,-AM24)</f>
        <v>13546173.457691219</v>
      </c>
      <c r="AO24" s="149">
        <f>SUM(Model_Mthly!$Q24,-IF(AND(leveraged_property,B24&lt;=amort_period),-PMT(AO$3/12,amort_period,loan_amount),0))</f>
        <v>92492.203637862578</v>
      </c>
      <c r="AP24" s="162">
        <f>AP23+IF(AND(leveraged_property,$B24&lt;=amort_period),PPMT(AP$3/12,$B24,amort_period,loan_amount),0)</f>
        <v>9292333.2087218482</v>
      </c>
      <c r="AQ24" s="149">
        <f ca="1">SUM(AO24,Model_Mthly!$AA24,-AP24)</f>
        <v>13535065.89734601</v>
      </c>
      <c r="AR24" s="149">
        <f>SUM(Model_Mthly!$Q24,-IF(AND(leveraged_property,B24&lt;=amort_period),-PMT(AR$3/12,amort_period,loan_amount),0))</f>
        <v>90974.325110487902</v>
      </c>
      <c r="AS24" s="162">
        <f>AS23+IF(AND(leveraged_property,$B24&lt;=amort_period),PPMT(AS$3/12,$B24,amort_period,loan_amount),0)</f>
        <v>9301594.2138923239</v>
      </c>
      <c r="AT24" s="149">
        <f ca="1">SUM(AR24,Model_Mthly!$AA24,-AS24)</f>
        <v>13524287.013648158</v>
      </c>
      <c r="AU24" s="149">
        <f>SUM(Model_Mthly!$Q24,-IF(AND(leveraged_property,B24&lt;=amort_period),-PMT(AU$3/12,amort_period,loan_amount),0))</f>
        <v>89438.490959492614</v>
      </c>
      <c r="AV24" s="162">
        <f>AV23+IF(AND(leveraged_property,$B24&lt;=amort_period),PPMT(AV$3/12,$B24,amort_period,loan_amount),0)</f>
        <v>9310515.5539080463</v>
      </c>
      <c r="AW24" s="149">
        <f ca="1">SUM(AU24,Model_Mthly!$AA24,-AV24)</f>
        <v>13513829.839481439</v>
      </c>
      <c r="AX24" s="103"/>
      <c r="AY24" s="288">
        <f ca="1">IF(AND(leveraged_property,down_payment&gt;0),IRR(($AC$4:AC23,AE24),),"N/A")</f>
        <v>1.6766587942743785E-2</v>
      </c>
      <c r="AZ24" s="288">
        <f ca="1">IF(AND(leveraged_property,down_payment&gt;0),IRR(($AF$4:AF23,AH24),),"N/A")</f>
        <v>1.6610675674505856E-2</v>
      </c>
      <c r="BA24" s="288">
        <f ca="1">IF(AND(leveraged_property,down_payment&gt;0),IRR(($AI$4:AI23,AK24),),"N/A")</f>
        <v>1.6454329551211171E-2</v>
      </c>
      <c r="BB24" s="303">
        <f ca="1">IF(AND(leveraged_property,down_payment&gt;0),IRR(($AL$4:AL23,AN24),),"N/A")</f>
        <v>1.6297566977166392E-2</v>
      </c>
      <c r="BC24" s="288">
        <f ca="1">IF(AND(leveraged_property,down_payment&gt;0),IRR(($AO$4:AO23,AQ24),),"N/A")</f>
        <v>1.6140405131879754E-2</v>
      </c>
      <c r="BD24" s="288">
        <f ca="1">IF(AND(leveraged_property,down_payment&gt;0),IRR(($AR$4:AR23,AT24),),"N/A")</f>
        <v>1.5982860941248775E-2</v>
      </c>
      <c r="BE24" s="288">
        <f ca="1">IF(AND(leveraged_property,down_payment&gt;0),IRR(($AU$4:AU23,AW24),),"N/A")</f>
        <v>1.5824951050816414E-2</v>
      </c>
      <c r="BF24" s="103"/>
      <c r="BG24" s="290">
        <f ca="1">IF(AND(leveraged_property,down_payment&gt;0),((1+AY24)^12)-1,"N/A")</f>
        <v>0.22083001078396136</v>
      </c>
      <c r="BH24" s="290">
        <f ca="1">IF(AND(leveraged_property,down_payment&gt;0),((1+AZ24)^12)-1,"N/A")</f>
        <v>0.21858546109052646</v>
      </c>
      <c r="BI24" s="290">
        <f ca="1">IF(AND(leveraged_property,down_payment&gt;0),((1+BA24)^12)-1,"N/A")</f>
        <v>0.21633846471004659</v>
      </c>
      <c r="BJ24" s="305">
        <f ca="1">IF(AND(leveraged_property,down_payment&gt;0),((1+BB24)^12)-1,"N/A")</f>
        <v>0.21408929694143208</v>
      </c>
      <c r="BK24" s="290">
        <f ca="1">IF(AND(leveraged_property,down_payment&gt;0),((1+BC24)^12)-1,"N/A")</f>
        <v>0.21183822816820896</v>
      </c>
      <c r="BL24" s="290">
        <f ca="1">IF(AND(leveraged_property,down_payment&gt;0),((1+BD24)^12)-1,"N/A")</f>
        <v>0.20958552346942128</v>
      </c>
      <c r="BM24" s="290">
        <f ca="1">IF(AND(leveraged_property,down_payment&gt;0),((1+BE24)^12)-1,"N/A")</f>
        <v>0.20733144226485867</v>
      </c>
    </row>
    <row r="25" spans="1:65">
      <c r="A25" s="137">
        <f>Model_Mthly!A25</f>
        <v>40801</v>
      </c>
      <c r="B25" s="138">
        <f>Model_Mthly!B25</f>
        <v>21</v>
      </c>
      <c r="C25" s="223"/>
      <c r="D25" s="139">
        <f>Model_Mthly!AQ25</f>
        <v>93991.669872034778</v>
      </c>
      <c r="E25" s="231">
        <f>IF(OR($H$3&lt;=0.0075,$H$3=""),0,SUM(Model_Mthly!AQ25,(SUM(Model_Mthly!Q26:Q37)/$E$3)*(1-cost_of_sale),-Model_Mthly!V25))</f>
        <v>16244382.037214804</v>
      </c>
      <c r="F25" s="231">
        <f>IF(OR($H$3&lt;=0.0075,$H$3=""),0,SUM(Model_Mthly!AQ25,(SUM(Model_Mthly!Q26:Q37)/$F$3)*(1-cost_of_sale),-Model_Mthly!V25))</f>
        <v>15396991.32553922</v>
      </c>
      <c r="G25" s="231">
        <f>IF(OR($H$3&lt;=0.0075,$H$3=""),0,SUM(Model_Mthly!AQ25,(SUM(Model_Mthly!Q26:Q37)/$G$3)*(1-cost_of_sale),-Model_Mthly!V25))</f>
        <v>14604270.982358832</v>
      </c>
      <c r="H25" s="232">
        <f>IF(OR($H$3&lt;=0.0075,$H$3=""),0,SUM(Model_Mthly!AQ25,(SUM(Model_Mthly!Q26:Q37)/$H$3)*(1-cost_of_sale),-Model_Mthly!V25))</f>
        <v>13861095.660627216</v>
      </c>
      <c r="I25" s="231">
        <f>IF(OR($H$3&lt;=0.0075,$H$3=""),0,SUM(Model_Mthly!AQ25,(SUM(Model_Mthly!Q26:Q37)/$I$3)*(1-cost_of_sale),-Model_Mthly!V25))</f>
        <v>13162961.267485399</v>
      </c>
      <c r="J25" s="231">
        <f>IF(OR($H$3&lt;=0.0075,$H$3=""),0,SUM(Model_Mthly!AQ25,(SUM(Model_Mthly!Q26:Q37)/$J$3)*(1-cost_of_sale),-Model_Mthly!V25))</f>
        <v>12505893.603351925</v>
      </c>
      <c r="K25" s="231">
        <f>IF(OR($H$3&lt;=0.0075,$H$3=""),0,SUM(Model_Mthly!AQ25,(SUM(Model_Mthly!Q26:Q37)/$K$3)*(1-cost_of_sale),-Model_Mthly!V25))</f>
        <v>11886372.662883215</v>
      </c>
      <c r="L25" s="160"/>
      <c r="M25" s="302">
        <f>IF(OR($H$3&lt;=0.0075,$H$3="",down_payment&lt;=0),"N/A",IRR(($D$4:D24,E25),))</f>
        <v>2.4142504070883402E-2</v>
      </c>
      <c r="N25" s="288">
        <f>IF(OR($H$3&lt;=0.0075,$H$3="",down_payment&lt;=0),"N/A",IRR(($D$4:D24,F25),))</f>
        <v>2.169275466205247E-2</v>
      </c>
      <c r="O25" s="288">
        <f>IF(OR($H$3&lt;=0.0075,$H$3="",down_payment&lt;=0),"N/A",IRR(($D$4:D24,G25),))</f>
        <v>1.9286700365821811E-2</v>
      </c>
      <c r="P25" s="303">
        <f>IF(OR($H$3&lt;=0.0075,$H$3="",down_payment&lt;=0),"N/A",IRR(($D$4:D24,H25),))</f>
        <v>1.6920107773645911E-2</v>
      </c>
      <c r="Q25" s="288">
        <f>IF(OR($H$3&lt;=0.0075,$H$3="",down_payment&lt;=0),"N/A",IRR(($D$4:D24,I25),))</f>
        <v>1.4589062826208105E-2</v>
      </c>
      <c r="R25" s="288">
        <f>IF(OR($H$3&lt;=0.0075,$H$3="",down_payment&lt;=0),"N/A",IRR(($D$4:D24,J25),))</f>
        <v>1.2289926377811941E-2</v>
      </c>
      <c r="S25" s="288">
        <f>IF(OR($H$3&lt;=0.0075,$H$3="",down_payment&lt;=0),"N/A",IRR(($D$4:D24,K25),))</f>
        <v>1.0019295688172614E-2</v>
      </c>
      <c r="T25" s="233"/>
      <c r="U25" s="304">
        <f t="shared" si="4"/>
        <v>0.33144946591028246</v>
      </c>
      <c r="V25" s="304">
        <f t="shared" si="5"/>
        <v>0.29373033981815388</v>
      </c>
      <c r="W25" s="304">
        <f t="shared" si="6"/>
        <v>0.25763985253606658</v>
      </c>
      <c r="X25" s="305">
        <f t="shared" si="7"/>
        <v>0.22304382078477203</v>
      </c>
      <c r="Y25" s="304">
        <f t="shared" si="8"/>
        <v>0.18982233260096693</v>
      </c>
      <c r="Z25" s="304">
        <f t="shared" si="9"/>
        <v>0.15786781149286644</v>
      </c>
      <c r="AA25" s="304">
        <f t="shared" si="10"/>
        <v>0.12708338834022781</v>
      </c>
      <c r="AB25" s="103"/>
      <c r="AC25" s="149">
        <f>SUM(Model_Mthly!$Q25,-IF(AND(leveraged_property,B25&lt;=amort_period),-PMT(AC$3/12,amort_period,loan_amount),0))</f>
        <v>98375.12803220388</v>
      </c>
      <c r="AD25" s="149">
        <f>AD24+IF(AND(leveraged_property,$B25&lt;=amort_period),PPMT(AD$3/12,$B25,amort_period,loan_amount),0)</f>
        <v>9238812.117811108</v>
      </c>
      <c r="AE25" s="149">
        <f ca="1">SUM(AC25,Model_Mthly!$AA25,-AD25)</f>
        <v>13897997.983901089</v>
      </c>
      <c r="AF25" s="149">
        <f>SUM(Model_Mthly!$Q25,-IF(AND(leveraged_property,B25&lt;=amort_period),-PMT(AF$3/12,amort_period,loan_amount),0))</f>
        <v>96933.570813846876</v>
      </c>
      <c r="AG25" s="149">
        <f>AG24+IF(AND(leveraged_property,$B25&lt;=amort_period),PPMT(AG$3/12,$B25,amort_period,loan_amount),0)</f>
        <v>9250034.3995537311</v>
      </c>
      <c r="AH25" s="149">
        <f ca="1">SUM(AF25,Model_Mthly!$AA25,-AG25)</f>
        <v>13885334.144940108</v>
      </c>
      <c r="AI25" s="149">
        <f>SUM(Model_Mthly!$Q25,-IF(AND(leveraged_property,B25&lt;=amort_period),-PMT(AI$3/12,amort_period,loan_amount),0))</f>
        <v>95472.273296520172</v>
      </c>
      <c r="AJ25" s="149">
        <f>AJ24+IF(AND(leveraged_property,$B25&lt;=amort_period),PPMT(AJ$3/12,$B25,amort_period,loan_amount),0)</f>
        <v>9260871.6866939012</v>
      </c>
      <c r="AK25" s="149">
        <f ca="1">SUM(AI25,Model_Mthly!$AA25,-AJ25)</f>
        <v>13873035.560282612</v>
      </c>
      <c r="AL25" s="229">
        <f>SUM(Model_Mthly!$Q25,-IF(AND(leveraged_property,B25&lt;=amort_period),-PMT(AL$3/12,amort_period,loan_amount),0))</f>
        <v>93991.669872034778</v>
      </c>
      <c r="AM25" s="229">
        <f>AM24+IF(AND(leveraged_property,$B25&lt;=amort_period),PPMT(AM$3/12,$B25,amort_period,loan_amount),0)</f>
        <v>9271330.9829248115</v>
      </c>
      <c r="AN25" s="229">
        <f ca="1">SUM(AL25,Model_Mthly!$AA25,-AM25)</f>
        <v>13861095.660627216</v>
      </c>
      <c r="AO25" s="149">
        <f>SUM(Model_Mthly!$Q25,-IF(AND(leveraged_property,B25&lt;=amort_period),-PMT(AO$3/12,amort_period,loan_amount),0))</f>
        <v>92492.203637862578</v>
      </c>
      <c r="AP25" s="162">
        <f>AP24+IF(AND(leveraged_property,$B25&lt;=amort_period),PPMT(AP$3/12,$B25,amort_period,loan_amount),0)</f>
        <v>9281419.5506515037</v>
      </c>
      <c r="AQ25" s="149">
        <f ca="1">SUM(AO25,Model_Mthly!$AA25,-AP25)</f>
        <v>13849507.626666354</v>
      </c>
      <c r="AR25" s="149">
        <f>SUM(Model_Mthly!$Q25,-IF(AND(leveraged_property,B25&lt;=amort_period),-PMT(AR$3/12,amort_period,loan_amount),0))</f>
        <v>90974.325110487902</v>
      </c>
      <c r="AS25" s="162">
        <f>AS24+IF(AND(leveraged_property,$B25&lt;=amort_period),PPMT(AS$3/12,$B25,amort_period,loan_amount),0)</f>
        <v>9291144.8850722741</v>
      </c>
      <c r="AT25" s="149">
        <f ca="1">SUM(AR25,Model_Mthly!$AA25,-AS25)</f>
        <v>13838264.413718207</v>
      </c>
      <c r="AU25" s="149">
        <f>SUM(Model_Mthly!$Q25,-IF(AND(leveraged_property,B25&lt;=amort_period),-PMT(AU$3/12,amort_period,loan_amount),0))</f>
        <v>89438.490959492614</v>
      </c>
      <c r="AV25" s="162">
        <f>AV24+IF(AND(leveraged_property,$B25&lt;=amort_period),PPMT(AV$3/12,$B25,amort_period,loan_amount),0)</f>
        <v>9300514.6883774772</v>
      </c>
      <c r="AW25" s="149">
        <f ca="1">SUM(AU25,Model_Mthly!$AA25,-AV25)</f>
        <v>13827358.776262008</v>
      </c>
      <c r="AX25" s="103"/>
      <c r="AY25" s="288">
        <f ca="1">IF(AND(leveraged_property,down_payment&gt;0),IRR(($AC$4:AC24,AE25),),"N/A")</f>
        <v>1.7382657684099044E-2</v>
      </c>
      <c r="AZ25" s="288">
        <f ca="1">IF(AND(leveraged_property,down_payment&gt;0),IRR(($AF$4:AF24,AH25),),"N/A")</f>
        <v>1.7228922426454803E-2</v>
      </c>
      <c r="BA25" s="288">
        <f ca="1">IF(AND(leveraged_property,down_payment&gt;0),IRR(($AI$4:AI24,AK25),),"N/A")</f>
        <v>1.7074733116022065E-2</v>
      </c>
      <c r="BB25" s="303">
        <f ca="1">IF(AND(leveraged_property,down_payment&gt;0),IRR(($AL$4:AL24,AN25),),"N/A")</f>
        <v>1.6920107773645911E-2</v>
      </c>
      <c r="BC25" s="288">
        <f ca="1">IF(AND(leveraged_property,down_payment&gt;0),IRR(($AO$4:AO24,AQ25),),"N/A")</f>
        <v>1.6765064201439368E-2</v>
      </c>
      <c r="BD25" s="288">
        <f ca="1">IF(AND(leveraged_property,down_payment&gt;0),IRR(($AR$4:AR24,AT25),),"N/A")</f>
        <v>1.6609619952241889E-2</v>
      </c>
      <c r="BE25" s="288">
        <f ca="1">IF(AND(leveraged_property,down_payment&gt;0),IRR(($AU$4:AU24,AW25),),"N/A")</f>
        <v>1.6453792301197968E-2</v>
      </c>
      <c r="BF25" s="103"/>
      <c r="BG25" s="290">
        <f ca="1">IF(AND(leveraged_property,down_payment&gt;0),((1+AY25)^12)-1,"N/A")</f>
        <v>0.22973621924939502</v>
      </c>
      <c r="BH25" s="290">
        <f ca="1">IF(AND(leveraged_property,down_payment&gt;0),((1+AZ25)^12)-1,"N/A")</f>
        <v>0.22750818711121545</v>
      </c>
      <c r="BI25" s="290">
        <f ca="1">IF(AND(leveraged_property,down_payment&gt;0),((1+BA25)^12)-1,"N/A")</f>
        <v>0.22527729185397649</v>
      </c>
      <c r="BJ25" s="305">
        <f ca="1">IF(AND(leveraged_property,down_payment&gt;0),((1+BB25)^12)-1,"N/A")</f>
        <v>0.22304382078477203</v>
      </c>
      <c r="BK25" s="290">
        <f ca="1">IF(AND(leveraged_property,down_payment&gt;0),((1+BC25)^12)-1,"N/A")</f>
        <v>0.22080805632004563</v>
      </c>
      <c r="BL25" s="290">
        <f ca="1">IF(AND(leveraged_property,down_payment&gt;0),((1+BD25)^12)-1,"N/A")</f>
        <v>0.21857027556688724</v>
      </c>
      <c r="BM25" s="290">
        <f ca="1">IF(AND(leveraged_property,down_payment&gt;0),((1+BE25)^12)-1,"N/A")</f>
        <v>0.21633074993993895</v>
      </c>
    </row>
    <row r="26" spans="1:65">
      <c r="A26" s="137">
        <f>Model_Mthly!A26</f>
        <v>40831</v>
      </c>
      <c r="B26" s="138">
        <f>Model_Mthly!B26</f>
        <v>22</v>
      </c>
      <c r="C26" s="223"/>
      <c r="D26" s="139">
        <f>Model_Mthly!AQ26</f>
        <v>93991.669872034778</v>
      </c>
      <c r="E26" s="231">
        <f>IF(OR($H$3&lt;=0.0075,$H$3=""),0,SUM(Model_Mthly!AQ26,(SUM(Model_Mthly!Q27:Q38)/$E$3)*(1-cost_of_sale),-Model_Mthly!V26))</f>
        <v>16590755.91890092</v>
      </c>
      <c r="F26" s="231">
        <f>IF(OR($H$3&lt;=0.0075,$H$3=""),0,SUM(Model_Mthly!AQ26,(SUM(Model_Mthly!Q27:Q38)/$F$3)*(1-cost_of_sale),-Model_Mthly!V26))</f>
        <v>15732200.956328781</v>
      </c>
      <c r="G26" s="231">
        <f>IF(OR($H$3&lt;=0.0075,$H$3=""),0,SUM(Model_Mthly!AQ26,(SUM(Model_Mthly!Q27:Q38)/$G$3)*(1-cost_of_sale),-Model_Mthly!V26))</f>
        <v>14929036.636503233</v>
      </c>
      <c r="H26" s="232">
        <f>IF(OR($H$3&lt;=0.0075,$H$3=""),0,SUM(Model_Mthly!AQ26,(SUM(Model_Mthly!Q27:Q38)/$H$3)*(1-cost_of_sale),-Model_Mthly!V26))</f>
        <v>14176070.086666783</v>
      </c>
      <c r="I26" s="231">
        <f>IF(OR($H$3&lt;=0.0075,$H$3=""),0,SUM(Model_Mthly!AQ26,(SUM(Model_Mthly!Q27:Q38)/$I$3)*(1-cost_of_sale),-Model_Mthly!V26))</f>
        <v>13468737.873184053</v>
      </c>
      <c r="J26" s="231">
        <f>IF(OR($H$3&lt;=0.0075,$H$3=""),0,SUM(Model_Mthly!AQ26,(SUM(Model_Mthly!Q27:Q38)/$J$3)*(1-cost_of_sale),-Model_Mthly!V26))</f>
        <v>12803013.436965017</v>
      </c>
      <c r="K26" s="231">
        <f>IF(OR($H$3&lt;=0.0075,$H$3=""),0,SUM(Model_Mthly!AQ26,(SUM(Model_Mthly!Q27:Q38)/$K$3)*(1-cost_of_sale),-Model_Mthly!V26))</f>
        <v>12175330.397101348</v>
      </c>
      <c r="L26" s="160"/>
      <c r="M26" s="302">
        <f>IF(OR($H$3&lt;=0.0075,$H$3="",down_payment&lt;=0),"N/A",IRR(($D$4:D25,E26),))</f>
        <v>2.4275385715189259E-2</v>
      </c>
      <c r="N26" s="288">
        <f>IF(OR($H$3&lt;=0.0075,$H$3="",down_payment&lt;=0),"N/A",IRR(($D$4:D25,F26),))</f>
        <v>2.1962006826388884E-2</v>
      </c>
      <c r="O26" s="288">
        <f>IF(OR($H$3&lt;=0.0075,$H$3="",down_payment&lt;=0),"N/A",IRR(($D$4:D25,G26),))</f>
        <v>1.9690782523454981E-2</v>
      </c>
      <c r="P26" s="303">
        <f>IF(OR($H$3&lt;=0.0075,$H$3="",down_payment&lt;=0),"N/A",IRR(($D$4:D25,H26),))</f>
        <v>1.7457728460127352E-2</v>
      </c>
      <c r="Q26" s="288">
        <f>IF(OR($H$3&lt;=0.0075,$H$3="",down_payment&lt;=0),"N/A",IRR(($D$4:D25,I26),))</f>
        <v>1.5259166162537271E-2</v>
      </c>
      <c r="R26" s="288">
        <f>IF(OR($H$3&lt;=0.0075,$H$3="",down_payment&lt;=0),"N/A",IRR(($D$4:D25,J26),))</f>
        <v>1.3091681143328487E-2</v>
      </c>
      <c r="S26" s="288">
        <f>IF(OR($H$3&lt;=0.0075,$H$3="",down_payment&lt;=0),"N/A",IRR(($D$4:D25,K26),))</f>
        <v>1.0952086670654025E-2</v>
      </c>
      <c r="T26" s="233"/>
      <c r="U26" s="304">
        <f t="shared" si="4"/>
        <v>0.33352399955024081</v>
      </c>
      <c r="V26" s="304">
        <f t="shared" si="5"/>
        <v>0.2978275994137114</v>
      </c>
      <c r="W26" s="304">
        <f t="shared" si="6"/>
        <v>0.26363580261186015</v>
      </c>
      <c r="X26" s="305">
        <f t="shared" si="7"/>
        <v>0.23082554067268024</v>
      </c>
      <c r="Y26" s="304">
        <f t="shared" si="8"/>
        <v>0.1992867346227245</v>
      </c>
      <c r="Z26" s="304">
        <f t="shared" si="9"/>
        <v>0.16892054176087412</v>
      </c>
      <c r="AA26" s="304">
        <f t="shared" si="10"/>
        <v>0.13963787994900301</v>
      </c>
      <c r="AB26" s="103"/>
      <c r="AC26" s="149">
        <f>SUM(Model_Mthly!$Q26,-IF(AND(leveraged_property,B26&lt;=amort_period),-PMT(AC$3/12,amort_period,loan_amount),0))</f>
        <v>98375.12803220388</v>
      </c>
      <c r="AD26" s="149">
        <f>AD25+IF(AND(leveraged_property,$B26&lt;=amort_period),PPMT(AD$3/12,$B26,amort_period,loan_amount),0)</f>
        <v>9225825.9188096467</v>
      </c>
      <c r="AE26" s="149">
        <f ca="1">SUM(AC26,Model_Mthly!$AA26,-AD26)</f>
        <v>14214512.254152557</v>
      </c>
      <c r="AF26" s="149">
        <f>SUM(Model_Mthly!$Q26,-IF(AND(leveraged_property,B26&lt;=amort_period),-PMT(AF$3/12,amort_period,loan_amount),0))</f>
        <v>96933.570813846876</v>
      </c>
      <c r="AG26" s="149">
        <f>AG25+IF(AND(leveraged_property,$B26&lt;=amort_period),PPMT(AG$3/12,$B26,amort_period,loan_amount),0)</f>
        <v>9237578.1553657185</v>
      </c>
      <c r="AH26" s="149">
        <f ca="1">SUM(AF26,Model_Mthly!$AA26,-AG26)</f>
        <v>14201318.460378127</v>
      </c>
      <c r="AI26" s="149">
        <f>SUM(Model_Mthly!$Q26,-IF(AND(leveraged_property,B26&lt;=amort_period),-PMT(AI$3/12,amort_period,loan_amount),0))</f>
        <v>95472.273296520172</v>
      </c>
      <c r="AJ26" s="149">
        <f>AJ25+IF(AND(leveraged_property,$B26&lt;=amort_period),PPMT(AJ$3/12,$B26,amort_period,loan_amount),0)</f>
        <v>9248928.6486197077</v>
      </c>
      <c r="AK26" s="149">
        <f ca="1">SUM(AI26,Model_Mthly!$AA26,-AJ26)</f>
        <v>14188506.669606812</v>
      </c>
      <c r="AL26" s="229">
        <f>SUM(Model_Mthly!$Q26,-IF(AND(leveraged_property,B26&lt;=amort_period),-PMT(AL$3/12,amort_period,loan_amount),0))</f>
        <v>93991.669872034778</v>
      </c>
      <c r="AM26" s="229">
        <f>AM25+IF(AND(leveraged_property,$B26&lt;=amort_period),PPMT(AM$3/12,$B26,amort_period,loan_amount),0)</f>
        <v>9259884.6281352509</v>
      </c>
      <c r="AN26" s="229">
        <f ca="1">SUM(AL26,Model_Mthly!$AA26,-AM26)</f>
        <v>14176070.086666783</v>
      </c>
      <c r="AO26" s="149">
        <f>SUM(Model_Mthly!$Q26,-IF(AND(leveraged_property,B26&lt;=amort_period),-PMT(AO$3/12,amort_period,loan_amount),0))</f>
        <v>92492.203637862578</v>
      </c>
      <c r="AP26" s="162">
        <f>AP25+IF(AND(leveraged_property,$B26&lt;=amort_period),PPMT(AP$3/12,$B26,amort_period,loan_amount),0)</f>
        <v>9270453.5979695711</v>
      </c>
      <c r="AQ26" s="149">
        <f ca="1">SUM(AO26,Model_Mthly!$AA26,-AP26)</f>
        <v>14164001.650598293</v>
      </c>
      <c r="AR26" s="149">
        <f>SUM(Model_Mthly!$Q26,-IF(AND(leveraged_property,B26&lt;=amort_period),-PMT(AR$3/12,amort_period,loan_amount),0))</f>
        <v>90974.325110487902</v>
      </c>
      <c r="AS26" s="162">
        <f>AS25+IF(AND(leveraged_property,$B26&lt;=amort_period),PPMT(AS$3/12,$B26,amort_period,loan_amount),0)</f>
        <v>9280643.3096081242</v>
      </c>
      <c r="AT26" s="149">
        <f ca="1">SUM(AR26,Model_Mthly!$AA26,-AS26)</f>
        <v>14152294.060432363</v>
      </c>
      <c r="AU26" s="149">
        <f>SUM(Model_Mthly!$Q26,-IF(AND(leveraged_property,B26&lt;=amort_period),-PMT(AU$3/12,amort_period,loan_amount),0))</f>
        <v>89438.490959492614</v>
      </c>
      <c r="AV26" s="162">
        <f>AV25+IF(AND(leveraged_property,$B26&lt;=amort_period),PPMT(AV$3/12,$B26,amort_period,loan_amount),0)</f>
        <v>9290461.7350056022</v>
      </c>
      <c r="AW26" s="149">
        <f ca="1">SUM(AU26,Model_Mthly!$AA26,-AV26)</f>
        <v>14140939.800883889</v>
      </c>
      <c r="AX26" s="103"/>
      <c r="AY26" s="288">
        <f ca="1">IF(AND(leveraged_property,down_payment&gt;0),IRR(($AC$4:AC25,AE26),),"N/A")</f>
        <v>1.7914077929047471E-2</v>
      </c>
      <c r="AZ26" s="288">
        <f ca="1">IF(AND(leveraged_property,down_payment&gt;0),IRR(($AF$4:AF25,AH26),),"N/A")</f>
        <v>1.7762428292538497E-2</v>
      </c>
      <c r="BA26" s="288">
        <f ca="1">IF(AND(leveraged_property,down_payment&gt;0),IRR(($AI$4:AI25,AK26),),"N/A")</f>
        <v>1.7610305602485252E-2</v>
      </c>
      <c r="BB26" s="303">
        <f ca="1">IF(AND(leveraged_property,down_payment&gt;0),IRR(($AL$4:AL25,AN26),),"N/A")</f>
        <v>1.7457728460127352E-2</v>
      </c>
      <c r="BC26" s="288">
        <f ca="1">IF(AND(leveraged_property,down_payment&gt;0),IRR(($AO$4:AO25,AQ26),),"N/A")</f>
        <v>1.7304715254127544E-2</v>
      </c>
      <c r="BD26" s="288">
        <f ca="1">IF(AND(leveraged_property,down_payment&gt;0),IRR(($AR$4:AR25,AT26),),"N/A")</f>
        <v>1.7151284128375438E-2</v>
      </c>
      <c r="BE26" s="288">
        <f ca="1">IF(AND(leveraged_property,down_payment&gt;0),IRR(($AU$4:AU25,AW26),),"N/A")</f>
        <v>1.699745295196383E-2</v>
      </c>
      <c r="BF26" s="103"/>
      <c r="BG26" s="290">
        <f ca="1">IF(AND(leveraged_property,down_payment&gt;0),((1+AY26)^12)-1,"N/A")</f>
        <v>0.23746649574937795</v>
      </c>
      <c r="BH26" s="290">
        <f ca="1">IF(AND(leveraged_property,down_payment&gt;0),((1+AZ26)^12)-1,"N/A")</f>
        <v>0.23525600286746995</v>
      </c>
      <c r="BI26" s="290">
        <f ca="1">IF(AND(leveraged_property,down_payment&gt;0),((1+BA26)^12)-1,"N/A")</f>
        <v>0.23304225166150205</v>
      </c>
      <c r="BJ26" s="305">
        <f ca="1">IF(AND(leveraged_property,down_payment&gt;0),((1+BB26)^12)-1,"N/A")</f>
        <v>0.23082554067268024</v>
      </c>
      <c r="BK26" s="290">
        <f ca="1">IF(AND(leveraged_property,down_payment&gt;0),((1+BC26)^12)-1,"N/A")</f>
        <v>0.22860616358679353</v>
      </c>
      <c r="BL26" s="290">
        <f ca="1">IF(AND(leveraged_property,down_payment&gt;0),((1+BD26)^12)-1,"N/A")</f>
        <v>0.22638440878713229</v>
      </c>
      <c r="BM26" s="290">
        <f ca="1">IF(AND(leveraged_property,down_payment&gt;0),((1+BE26)^12)-1,"N/A")</f>
        <v>0.22416055894410714</v>
      </c>
    </row>
    <row r="27" spans="1:65">
      <c r="A27" s="137">
        <f>Model_Mthly!A27</f>
        <v>40862</v>
      </c>
      <c r="B27" s="138">
        <f>Model_Mthly!B27</f>
        <v>23</v>
      </c>
      <c r="C27" s="223"/>
      <c r="D27" s="139">
        <f>Model_Mthly!AQ27</f>
        <v>93991.669872034778</v>
      </c>
      <c r="E27" s="231">
        <f>IF(OR($H$3&lt;=0.0075,$H$3=""),0,SUM(Model_Mthly!AQ27,(SUM(Model_Mthly!Q28:Q39)/$E$3)*(1-cost_of_sale),-Model_Mthly!V27))</f>
        <v>16937182.263046481</v>
      </c>
      <c r="F27" s="231">
        <f>IF(OR($H$3&lt;=0.0075,$H$3=""),0,SUM(Model_Mthly!AQ27,(SUM(Model_Mthly!Q28:Q39)/$F$3)*(1-cost_of_sale),-Model_Mthly!V27))</f>
        <v>16067463.049577793</v>
      </c>
      <c r="G27" s="231">
        <f>IF(OR($H$3&lt;=0.0075,$H$3=""),0,SUM(Model_Mthly!AQ27,(SUM(Model_Mthly!Q28:Q39)/$G$3)*(1-cost_of_sale),-Model_Mthly!V27))</f>
        <v>15253854.75310708</v>
      </c>
      <c r="H27" s="232">
        <f>IF(OR($H$3&lt;=0.0075,$H$3=""),0,SUM(Model_Mthly!AQ27,(SUM(Model_Mthly!Q28:Q39)/$H$3)*(1-cost_of_sale),-Model_Mthly!V27))</f>
        <v>14491096.97516579</v>
      </c>
      <c r="I27" s="231">
        <f>IF(OR($H$3&lt;=0.0075,$H$3=""),0,SUM(Model_Mthly!AQ27,(SUM(Model_Mthly!Q28:Q39)/$I$3)*(1-cost_of_sale),-Model_Mthly!V27))</f>
        <v>13774566.941342151</v>
      </c>
      <c r="J27" s="231">
        <f>IF(OR($H$3&lt;=0.0075,$H$3=""),0,SUM(Model_Mthly!AQ27,(SUM(Model_Mthly!Q28:Q39)/$J$3)*(1-cost_of_sale),-Model_Mthly!V27))</f>
        <v>13100185.733037552</v>
      </c>
      <c r="K27" s="231">
        <f>IF(OR($H$3&lt;=0.0075,$H$3=""),0,SUM(Model_Mthly!AQ27,(SUM(Model_Mthly!Q28:Q39)/$K$3)*(1-cost_of_sale),-Model_Mthly!V27))</f>
        <v>12464340.593778932</v>
      </c>
      <c r="L27" s="160"/>
      <c r="M27" s="302">
        <f>IF(OR($H$3&lt;=0.0075,$H$3="",down_payment&lt;=0),"N/A",IRR(($D$4:D26,E27),))</f>
        <v>2.4373696086758143E-2</v>
      </c>
      <c r="N27" s="288">
        <f>IF(OR($H$3&lt;=0.0075,$H$3="",down_payment&lt;=0),"N/A",IRR(($D$4:D26,F27),))</f>
        <v>2.2183901899746179E-2</v>
      </c>
      <c r="O27" s="288">
        <f>IF(OR($H$3&lt;=0.0075,$H$3="",down_payment&lt;=0),"N/A",IRR(($D$4:D26,G27),))</f>
        <v>2.0034831015148011E-2</v>
      </c>
      <c r="P27" s="303">
        <f>IF(OR($H$3&lt;=0.0075,$H$3="",down_payment&lt;=0),"N/A",IRR(($D$4:D26,H27),))</f>
        <v>1.7922721759498307E-2</v>
      </c>
      <c r="Q27" s="288">
        <f>IF(OR($H$3&lt;=0.0075,$H$3="",down_payment&lt;=0),"N/A",IRR(($D$4:D26,I27),))</f>
        <v>1.5844105844482533E-2</v>
      </c>
      <c r="R27" s="288">
        <f>IF(OR($H$3&lt;=0.0075,$H$3="",down_payment&lt;=0),"N/A",IRR(($D$4:D26,J27),))</f>
        <v>1.3795768750299886E-2</v>
      </c>
      <c r="S27" s="288">
        <f>IF(OR($H$3&lt;=0.0075,$H$3="",down_payment&lt;=0),"N/A",IRR(($D$4:D26,K27),))</f>
        <v>1.1774715512559358E-2</v>
      </c>
      <c r="T27" s="233"/>
      <c r="U27" s="304">
        <f t="shared" si="4"/>
        <v>0.33506071676681404</v>
      </c>
      <c r="V27" s="304">
        <f t="shared" si="5"/>
        <v>0.30121315430380036</v>
      </c>
      <c r="W27" s="304">
        <f t="shared" si="6"/>
        <v>0.26876158805241368</v>
      </c>
      <c r="X27" s="305">
        <f t="shared" si="7"/>
        <v>0.23759260010803129</v>
      </c>
      <c r="Y27" s="304">
        <f t="shared" si="8"/>
        <v>0.20760466158135893</v>
      </c>
      <c r="Z27" s="304">
        <f t="shared" si="9"/>
        <v>0.17870653529554015</v>
      </c>
      <c r="AA27" s="304">
        <f t="shared" si="10"/>
        <v>0.1508159303419836</v>
      </c>
      <c r="AB27" s="103"/>
      <c r="AC27" s="149">
        <f>SUM(Model_Mthly!$Q27,-IF(AND(leveraged_property,B27&lt;=amort_period),-PMT(AC$3/12,amort_period,loan_amount),0))</f>
        <v>98375.12803220388</v>
      </c>
      <c r="AD27" s="149">
        <f>AD26+IF(AND(leveraged_property,$B27&lt;=amort_period),PPMT(AD$3/12,$B27,amort_period,loan_amount),0)</f>
        <v>9212788.3161038049</v>
      </c>
      <c r="AE27" s="149">
        <f ca="1">SUM(AC27,Model_Mthly!$AA27,-AD27)</f>
        <v>14531077.928108394</v>
      </c>
      <c r="AF27" s="149">
        <f>SUM(Model_Mthly!$Q27,-IF(AND(leveraged_property,B27&lt;=amort_period),-PMT(AF$3/12,amort_period,loan_amount),0))</f>
        <v>96933.570813846876</v>
      </c>
      <c r="AG27" s="149">
        <f>AG26+IF(AND(leveraged_property,$B27&lt;=amort_period),PPMT(AG$3/12,$B27,amort_period,loan_amount),0)</f>
        <v>9225070.0101602562</v>
      </c>
      <c r="AH27" s="149">
        <f ca="1">SUM(AF27,Model_Mthly!$AA27,-AG27)</f>
        <v>14517354.676833585</v>
      </c>
      <c r="AI27" s="149">
        <f>SUM(Model_Mthly!$Q27,-IF(AND(leveraged_property,B27&lt;=amort_period),-PMT(AI$3/12,amort_period,loan_amount),0))</f>
        <v>95472.273296520172</v>
      </c>
      <c r="AJ27" s="149">
        <f>AJ26+IF(AND(leveraged_property,$B27&lt;=amort_period),PPMT(AJ$3/12,$B27,amort_period,loan_amount),0)</f>
        <v>9236933.3597539384</v>
      </c>
      <c r="AK27" s="149">
        <f ca="1">SUM(AI27,Model_Mthly!$AA27,-AJ27)</f>
        <v>14504030.029722577</v>
      </c>
      <c r="AL27" s="229">
        <f>SUM(Model_Mthly!$Q27,-IF(AND(leveraged_property,B27&lt;=amort_period),-PMT(AL$3/12,amort_period,loan_amount),0))</f>
        <v>93991.669872034778</v>
      </c>
      <c r="AM27" s="229">
        <f>AM26+IF(AND(leveraged_property,$B27&lt;=amort_period),PPMT(AM$3/12,$B27,amort_period,loan_amount),0)</f>
        <v>9248385.8108862396</v>
      </c>
      <c r="AN27" s="229">
        <f ca="1">SUM(AL27,Model_Mthly!$AA27,-AM27)</f>
        <v>14491096.97516579</v>
      </c>
      <c r="AO27" s="149">
        <f>SUM(Model_Mthly!$Q27,-IF(AND(leveraged_property,B27&lt;=amort_period),-PMT(AO$3/12,amort_period,loan_amount),0))</f>
        <v>92492.203637862578</v>
      </c>
      <c r="AP27" s="162">
        <f>AP26+IF(AND(leveraged_property,$B27&lt;=amort_period),PPMT(AP$3/12,$B27,amort_period,loan_amount),0)</f>
        <v>9259435.1000977047</v>
      </c>
      <c r="AQ27" s="149">
        <f ca="1">SUM(AO27,Model_Mthly!$AA27,-AP27)</f>
        <v>14478548.219720151</v>
      </c>
      <c r="AR27" s="149">
        <f>SUM(Model_Mthly!$Q27,-IF(AND(leveraged_property,B27&lt;=amort_period),-PMT(AR$3/12,amort_period,loan_amount),0))</f>
        <v>90974.325110487902</v>
      </c>
      <c r="AS27" s="162">
        <f>AS26+IF(AND(leveraged_property,$B27&lt;=amort_period),PPMT(AS$3/12,$B27,amort_period,loan_amount),0)</f>
        <v>9270089.2262666523</v>
      </c>
      <c r="AT27" s="149">
        <f ca="1">SUM(AR27,Model_Mthly!$AA27,-AS27)</f>
        <v>14466376.215023831</v>
      </c>
      <c r="AU27" s="149">
        <f>SUM(Model_Mthly!$Q27,-IF(AND(leveraged_property,B27&lt;=amort_period),-PMT(AU$3/12,amort_period,loan_amount),0))</f>
        <v>89438.490959492614</v>
      </c>
      <c r="AV27" s="162">
        <f>AV26+IF(AND(leveraged_property,$B27&lt;=amort_period),PPMT(AV$3/12,$B27,amort_period,loan_amount),0)</f>
        <v>9280356.4225015827</v>
      </c>
      <c r="AW27" s="149">
        <f ca="1">SUM(AU27,Model_Mthly!$AA27,-AV27)</f>
        <v>14454573.184637904</v>
      </c>
      <c r="AX27" s="103"/>
      <c r="AY27" s="288">
        <f ca="1">IF(AND(leveraged_property,down_payment&gt;0),IRR(($AC$4:AC26,AE27),),"N/A")</f>
        <v>1.8373125109218919E-2</v>
      </c>
      <c r="AZ27" s="288">
        <f ca="1">IF(AND(leveraged_property,down_payment&gt;0),IRR(($AF$4:AF26,AH27),),"N/A")</f>
        <v>1.822347521945223E-2</v>
      </c>
      <c r="BA27" s="288">
        <f ca="1">IF(AND(leveraged_property,down_payment&gt;0),IRR(($AI$4:AI26,AK27),),"N/A")</f>
        <v>1.8073334386776413E-2</v>
      </c>
      <c r="BB27" s="303">
        <f ca="1">IF(AND(leveraged_property,down_payment&gt;0),IRR(($AL$4:AL26,AN27),),"N/A")</f>
        <v>1.7922721759498307E-2</v>
      </c>
      <c r="BC27" s="288">
        <f ca="1">IF(AND(leveraged_property,down_payment&gt;0),IRR(($AO$4:AO26,AQ27),),"N/A")</f>
        <v>1.7771656279559594E-2</v>
      </c>
      <c r="BD27" s="288">
        <f ca="1">IF(AND(leveraged_property,down_payment&gt;0),IRR(($AR$4:AR26,AT27),),"N/A")</f>
        <v>1.7620156648760349E-2</v>
      </c>
      <c r="BE27" s="288">
        <f ca="1">IF(AND(leveraged_property,down_payment&gt;0),IRR(($AU$4:AU26,AW27),),"N/A")</f>
        <v>1.7468241297198036E-2</v>
      </c>
      <c r="BF27" s="103"/>
      <c r="BG27" s="290">
        <f ca="1">IF(AND(leveraged_property,down_payment&gt;0),((1+AY27)^12)-1,"N/A")</f>
        <v>0.24417983159380707</v>
      </c>
      <c r="BH27" s="290">
        <f ca="1">IF(AND(leveraged_property,down_payment&gt;0),((1+AZ27)^12)-1,"N/A")</f>
        <v>0.24198761784504064</v>
      </c>
      <c r="BI27" s="290">
        <f ca="1">IF(AND(leveraged_property,down_payment&gt;0),((1+BA27)^12)-1,"N/A")</f>
        <v>0.23979177099810522</v>
      </c>
      <c r="BJ27" s="305">
        <f ca="1">IF(AND(leveraged_property,down_payment&gt;0),((1+BB27)^12)-1,"N/A")</f>
        <v>0.23759260010803129</v>
      </c>
      <c r="BK27" s="290">
        <f ca="1">IF(AND(leveraged_property,down_payment&gt;0),((1+BC27)^12)-1,"N/A")</f>
        <v>0.23539040941861389</v>
      </c>
      <c r="BL27" s="290">
        <f ca="1">IF(AND(leveraged_property,down_payment&gt;0),((1+BD27)^12)-1,"N/A")</f>
        <v>0.23318549788806631</v>
      </c>
      <c r="BM27" s="290">
        <f ca="1">IF(AND(leveraged_property,down_payment&gt;0),((1+BE27)^12)-1,"N/A")</f>
        <v>0.23097815875241623</v>
      </c>
    </row>
    <row r="28" spans="1:65">
      <c r="A28" s="137">
        <f>Model_Mthly!A28</f>
        <v>40892</v>
      </c>
      <c r="B28" s="138">
        <f>Model_Mthly!B28</f>
        <v>24</v>
      </c>
      <c r="C28" s="223"/>
      <c r="D28" s="183">
        <f>Model_Mthly!AQ28</f>
        <v>93991.669872034778</v>
      </c>
      <c r="E28" s="202">
        <f>IF(OR($H$3&lt;=0.0075,$H$3=""),0,SUM(Model_Mthly!AQ28,(SUM(Model_Mthly!Q29:Q40)/$E$3)*(1-cost_of_sale),-Model_Mthly!V28))</f>
        <v>17283661.310104437</v>
      </c>
      <c r="F28" s="202">
        <f>IF(OR($H$3&lt;=0.0075,$H$3=""),0,SUM(Model_Mthly!AQ28,(SUM(Model_Mthly!Q29:Q40)/$F$3)*(1-cost_of_sale),-Model_Mthly!V28))</f>
        <v>16402777.845739193</v>
      </c>
      <c r="G28" s="202">
        <f>IF(OR($H$3&lt;=0.0075,$H$3=""),0,SUM(Model_Mthly!AQ28,(SUM(Model_Mthly!Q29:Q40)/$G$3)*(1-cost_of_sale),-Model_Mthly!V28))</f>
        <v>15578725.572623324</v>
      </c>
      <c r="H28" s="202">
        <f>IF(OR($H$3&lt;=0.0075,$H$3=""),0,SUM(Model_Mthly!AQ28,(SUM(Model_Mthly!Q29:Q40)/$H$3)*(1-cost_of_sale),-Model_Mthly!V28))</f>
        <v>14806176.566577192</v>
      </c>
      <c r="I28" s="202">
        <f>IF(OR($H$3&lt;=0.0075,$H$3=""),0,SUM(Model_Mthly!AQ28,(SUM(Model_Mthly!Q29:Q40)/$I$3)*(1-cost_of_sale),-Model_Mthly!V28))</f>
        <v>14080448.712412648</v>
      </c>
      <c r="J28" s="202">
        <f>IF(OR($H$3&lt;=0.0075,$H$3=""),0,SUM(Model_Mthly!AQ28,(SUM(Model_Mthly!Q29:Q40)/$J$3)*(1-cost_of_sale),-Model_Mthly!V28))</f>
        <v>13397410.732022487</v>
      </c>
      <c r="K28" s="202">
        <f>IF(OR($H$3&lt;=0.0075,$H$3=""),0,SUM(Model_Mthly!AQ28,(SUM(Model_Mthly!Q29:Q40)/$K$3)*(1-cost_of_sale),-Model_Mthly!V28))</f>
        <v>12753403.493368905</v>
      </c>
      <c r="L28" s="160"/>
      <c r="M28" s="289">
        <f>IF(OR($H$3&lt;=0.0075,$H$3="",down_payment&lt;=0),"N/A",IRR(($D$4:D27,E28),))</f>
        <v>2.4442691928799814E-2</v>
      </c>
      <c r="N28" s="289">
        <f>IF(OR($H$3&lt;=0.0075,$H$3="",down_payment&lt;=0),"N/A",IRR(($D$4:D27,F28),))</f>
        <v>2.2365345862016144E-2</v>
      </c>
      <c r="O28" s="289">
        <f>IF(OR($H$3&lt;=0.0075,$H$3="",down_payment&lt;=0),"N/A",IRR(($D$4:D27,G28),))</f>
        <v>2.0327388366956207E-2</v>
      </c>
      <c r="P28" s="289">
        <f>IF(OR($H$3&lt;=0.0075,$H$3="",down_payment&lt;=0),"N/A",IRR(($D$4:D27,H28),))</f>
        <v>1.8325257866061768E-2</v>
      </c>
      <c r="Q28" s="289">
        <f>IF(OR($H$3&lt;=0.0075,$H$3="",down_payment&lt;=0),"N/A",IRR(($D$4:D27,I28),))</f>
        <v>1.6355674569969936E-2</v>
      </c>
      <c r="R28" s="289">
        <f>IF(OR($H$3&lt;=0.0075,$H$3="",down_payment&lt;=0),"N/A",IRR(($D$4:D27,J28),))</f>
        <v>1.4415602893175406E-2</v>
      </c>
      <c r="S28" s="289">
        <f>IF(OR($H$3&lt;=0.0075,$H$3="",down_payment&lt;=0),"N/A",IRR(($D$4:D27,K28),))</f>
        <v>1.2502219041010426E-2</v>
      </c>
      <c r="T28" s="233"/>
      <c r="U28" s="291">
        <f t="shared" si="4"/>
        <v>0.33614017950178132</v>
      </c>
      <c r="V28" s="291">
        <f t="shared" si="5"/>
        <v>0.3039875424090448</v>
      </c>
      <c r="W28" s="291">
        <f t="shared" si="6"/>
        <v>0.27313522248040667</v>
      </c>
      <c r="X28" s="291">
        <f t="shared" si="7"/>
        <v>0.24347824122545147</v>
      </c>
      <c r="Y28" s="291">
        <f t="shared" si="8"/>
        <v>0.21492255678130001</v>
      </c>
      <c r="Z28" s="291">
        <f t="shared" si="9"/>
        <v>0.18738360087004868</v>
      </c>
      <c r="AA28" s="291">
        <f t="shared" si="10"/>
        <v>0.16078504563916485</v>
      </c>
      <c r="AB28" s="103"/>
      <c r="AC28" s="186">
        <f>SUM(Model_Mthly!$Q28,-IF(AND(leveraged_property,B28&lt;=amort_period),-PMT(AC$3/12,amort_period,loan_amount),0))</f>
        <v>98375.12803220388</v>
      </c>
      <c r="AD28" s="186">
        <f>AD27+IF(AND(leveraged_property,$B28&lt;=amort_period),PPMT(AD$3/12,$B28,amort_period,loan_amount),0)</f>
        <v>9199699.1062205862</v>
      </c>
      <c r="AE28" s="186">
        <f ca="1">SUM(AC28,Model_Mthly!$AA28,-AD28)</f>
        <v>14847695.209241612</v>
      </c>
      <c r="AF28" s="186">
        <f>SUM(Model_Mthly!$Q28,-IF(AND(leveraged_property,B28&lt;=amort_period),-PMT(AF$3/12,amort_period,loan_amount),0))</f>
        <v>96933.570813846876</v>
      </c>
      <c r="AG28" s="186">
        <f>AG27+IF(AND(leveraged_property,$B28&lt;=amort_period),PPMT(AG$3/12,$B28,amort_period,loan_amount),0)</f>
        <v>9212509.7476831041</v>
      </c>
      <c r="AH28" s="186">
        <f ca="1">SUM(AF28,Model_Mthly!$AA28,-AG28)</f>
        <v>14833443.010560736</v>
      </c>
      <c r="AI28" s="186">
        <f>SUM(Model_Mthly!$Q28,-IF(AND(leveraged_property,B28&lt;=amort_period),-PMT(AI$3/12,amort_period,loan_amount),0))</f>
        <v>95472.273296520172</v>
      </c>
      <c r="AJ28" s="186">
        <f>AJ27+IF(AND(leveraged_property,$B28&lt;=amort_period),PPMT(AJ$3/12,$B28,amort_period,loan_amount),0)</f>
        <v>9224885.5914993826</v>
      </c>
      <c r="AK28" s="186">
        <f ca="1">SUM(AI28,Model_Mthly!$AA28,-AJ28)</f>
        <v>14819605.869227132</v>
      </c>
      <c r="AL28" s="186">
        <f>SUM(Model_Mthly!$Q28,-IF(AND(leveraged_property,B28&lt;=amort_period),-PMT(AL$3/12,amort_period,loan_amount),0))</f>
        <v>93991.669872034778</v>
      </c>
      <c r="AM28" s="186">
        <f>AM27+IF(AND(leveraged_property,$B28&lt;=amort_period),PPMT(AM$3/12,$B28,amort_period,loan_amount),0)</f>
        <v>9236834.2907248363</v>
      </c>
      <c r="AN28" s="186">
        <f ca="1">SUM(AL28,Model_Mthly!$AA28,-AM28)</f>
        <v>14806176.566577192</v>
      </c>
      <c r="AO28" s="186">
        <f>SUM(Model_Mthly!$Q28,-IF(AND(leveraged_property,B28&lt;=amort_period),-PMT(AO$3/12,amort_period,loan_amount),0))</f>
        <v>92492.203637862578</v>
      </c>
      <c r="AP28" s="186">
        <f>AP27+IF(AND(leveraged_property,$B28&lt;=amort_period),PPMT(AP$3/12,$B28,amort_period,loan_amount),0)</f>
        <v>9248363.8052568696</v>
      </c>
      <c r="AQ28" s="186">
        <f ca="1">SUM(AO28,Model_Mthly!$AA28,-AP28)</f>
        <v>14793147.585810985</v>
      </c>
      <c r="AR28" s="186">
        <f>SUM(Model_Mthly!$Q28,-IF(AND(leveraged_property,B28&lt;=amort_period),-PMT(AR$3/12,amort_period,loan_amount),0))</f>
        <v>90974.325110487902</v>
      </c>
      <c r="AS28" s="186">
        <f>AS27+IF(AND(leveraged_property,$B28&lt;=amort_period),PPMT(AS$3/12,$B28,amort_period,loan_amount),0)</f>
        <v>9259482.3725084737</v>
      </c>
      <c r="AT28" s="186">
        <f ca="1">SUM(AR28,Model_Mthly!$AA28,-AS28)</f>
        <v>14780511.140032008</v>
      </c>
      <c r="AU28" s="186">
        <f>SUM(Model_Mthly!$Q28,-IF(AND(leveraged_property,B28&lt;=amort_period),-PMT(AU$3/12,amort_period,loan_amount),0))</f>
        <v>89438.490959492614</v>
      </c>
      <c r="AV28" s="186">
        <f>AV27+IF(AND(leveraged_property,$B28&lt;=amort_period),PPMT(AV$3/12,$B28,amort_period,loan_amount),0)</f>
        <v>9270198.4781616051</v>
      </c>
      <c r="AW28" s="186">
        <f ca="1">SUM(AU28,Model_Mthly!$AA28,-AV28)</f>
        <v>14768259.200227881</v>
      </c>
      <c r="AX28" s="103"/>
      <c r="AY28" s="289">
        <f ca="1">IF(AND(leveraged_property,down_payment&gt;0),IRR(($AC$4:AC27,AE28),),"N/A")</f>
        <v>1.8769954372271188E-2</v>
      </c>
      <c r="AZ28" s="289">
        <f ca="1">IF(AND(leveraged_property,down_payment&gt;0),IRR(($AF$4:AF27,AH28),),"N/A")</f>
        <v>1.8622223448246128E-2</v>
      </c>
      <c r="BA28" s="289">
        <f ca="1">IF(AND(leveraged_property,down_payment&gt;0),IRR(($AI$4:AI27,AK28),),"N/A")</f>
        <v>1.8473984724643663E-2</v>
      </c>
      <c r="BB28" s="289">
        <f ca="1">IF(AND(leveraged_property,down_payment&gt;0),IRR(($AL$4:AL27,AN28),),"N/A")</f>
        <v>1.8325257866061768E-2</v>
      </c>
      <c r="BC28" s="289">
        <f ca="1">IF(AND(leveraged_property,down_payment&gt;0),IRR(($AO$4:AO27,AQ28),),"N/A")</f>
        <v>1.8176062336980273E-2</v>
      </c>
      <c r="BD28" s="289">
        <f ca="1">IF(AND(leveraged_property,down_payment&gt;0),IRR(($AR$4:AR27,AT28),),"N/A")</f>
        <v>1.802641736646874E-2</v>
      </c>
      <c r="BE28" s="289">
        <f ca="1">IF(AND(leveraged_property,down_payment&gt;0),IRR(($AU$4:AU27,AW28),),"N/A")</f>
        <v>1.7876341915153995E-2</v>
      </c>
      <c r="BF28" s="103"/>
      <c r="BG28" s="291">
        <f ca="1">IF(AND(leveraged_property,down_payment&gt;0),((1+AY28)^12)-1,"N/A")</f>
        <v>0.25001014832337654</v>
      </c>
      <c r="BH28" s="291">
        <f ca="1">IF(AND(leveraged_property,down_payment&gt;0),((1+AZ28)^12)-1,"N/A")</f>
        <v>0.2478367279756597</v>
      </c>
      <c r="BI28" s="291">
        <f ca="1">IF(AND(leveraged_property,down_payment&gt;0),((1+BA28)^12)-1,"N/A")</f>
        <v>0.24565931930989082</v>
      </c>
      <c r="BJ28" s="291">
        <f ca="1">IF(AND(leveraged_property,down_payment&gt;0),((1+BB28)^12)-1,"N/A")</f>
        <v>0.24347824122545147</v>
      </c>
      <c r="BK28" s="291">
        <f ca="1">IF(AND(leveraged_property,down_payment&gt;0),((1+BC28)^12)-1,"N/A")</f>
        <v>0.24129380786226307</v>
      </c>
      <c r="BL28" s="291">
        <f ca="1">IF(AND(leveraged_property,down_payment&gt;0),((1+BD28)^12)-1,"N/A")</f>
        <v>0.239106328100257</v>
      </c>
      <c r="BM28" s="291">
        <f ca="1">IF(AND(leveraged_property,down_payment&gt;0),((1+BE28)^12)-1,"N/A")</f>
        <v>0.23691610509758743</v>
      </c>
    </row>
    <row r="29" spans="1:65">
      <c r="A29" s="137">
        <f>Model_Mthly!A29</f>
        <v>40923</v>
      </c>
      <c r="B29" s="138">
        <f>Model_Mthly!B29</f>
        <v>25</v>
      </c>
      <c r="C29" s="223"/>
      <c r="D29" s="139">
        <f>Model_Mthly!AQ29</f>
        <v>119300.77612203479</v>
      </c>
      <c r="E29" s="231">
        <f>IF(OR($H$3&lt;=0.0075,$H$3=""),0,SUM(Model_Mthly!AQ29,(SUM(Model_Mthly!Q30:Q41)/$E$3)*(1-cost_of_sale),-Model_Mthly!V29))</f>
        <v>17320183.645810828</v>
      </c>
      <c r="F29" s="231">
        <f>IF(OR($H$3&lt;=0.0075,$H$3=""),0,SUM(Model_Mthly!AQ29,(SUM(Model_Mthly!Q30:Q41)/$F$3)*(1-cost_of_sale),-Model_Mthly!V29))</f>
        <v>16439313.222618004</v>
      </c>
      <c r="G29" s="231">
        <f>IF(OR($H$3&lt;=0.0075,$H$3=""),0,SUM(Model_Mthly!AQ29,(SUM(Model_Mthly!Q30:Q41)/$G$3)*(1-cost_of_sale),-Model_Mthly!V29))</f>
        <v>15615273.149308586</v>
      </c>
      <c r="H29" s="232">
        <f>IF(OR($H$3&lt;=0.0075,$H$3=""),0,SUM(Model_Mthly!AQ29,(SUM(Model_Mthly!Q30:Q41)/$H$3)*(1-cost_of_sale),-Model_Mthly!V29))</f>
        <v>14842735.580581004</v>
      </c>
      <c r="I29" s="231">
        <f>IF(OR($H$3&lt;=0.0075,$H$3=""),0,SUM(Model_Mthly!AQ29,(SUM(Model_Mthly!Q30:Q41)/$I$3)*(1-cost_of_sale),-Model_Mthly!V29))</f>
        <v>14117018.470564185</v>
      </c>
      <c r="J29" s="231">
        <f>IF(OR($H$3&lt;=0.0075,$H$3=""),0,SUM(Model_Mthly!AQ29,(SUM(Model_Mthly!Q30:Q41)/$J$3)*(1-cost_of_sale),-Model_Mthly!V29))</f>
        <v>13433990.602313062</v>
      </c>
      <c r="K29" s="231">
        <f>IF(OR($H$3&lt;=0.0075,$H$3=""),0,SUM(Model_Mthly!AQ29,(SUM(Model_Mthly!Q30:Q41)/$K$3)*(1-cost_of_sale),-Model_Mthly!V29))</f>
        <v>12789992.897962002</v>
      </c>
      <c r="L29" s="160"/>
      <c r="M29" s="302">
        <f>IF(OR($H$3&lt;=0.0075,$H$3="",down_payment&lt;=0),"N/A",IRR(($D$4:D28,E29),))</f>
        <v>2.381108996265191E-2</v>
      </c>
      <c r="N29" s="288">
        <f>IF(OR($H$3&lt;=0.0075,$H$3="",down_payment&lt;=0),"N/A",IRR(($D$4:D28,F29),))</f>
        <v>2.182898213178253E-2</v>
      </c>
      <c r="O29" s="288">
        <f>IF(OR($H$3&lt;=0.0075,$H$3="",down_payment&lt;=0),"N/A",IRR(($D$4:D28,G29),))</f>
        <v>1.9884718836035063E-2</v>
      </c>
      <c r="P29" s="303">
        <f>IF(OR($H$3&lt;=0.0075,$H$3="",down_payment&lt;=0),"N/A",IRR(($D$4:D28,H29),))</f>
        <v>1.7974906858046803E-2</v>
      </c>
      <c r="Q29" s="288">
        <f>IF(OR($H$3&lt;=0.0075,$H$3="",down_payment&lt;=0),"N/A",IRR(($D$4:D28,I29),))</f>
        <v>1.6096422846020756E-2</v>
      </c>
      <c r="R29" s="288">
        <f>IF(OR($H$3&lt;=0.0075,$H$3="",down_payment&lt;=0),"N/A",IRR(($D$4:D28,J29),))</f>
        <v>1.4246377490621629E-2</v>
      </c>
      <c r="S29" s="288">
        <f>IF(OR($H$3&lt;=0.0075,$H$3="",down_payment&lt;=0),"N/A",IRR(($D$4:D28,K29),))</f>
        <v>1.2422084645909354E-2</v>
      </c>
      <c r="T29" s="233"/>
      <c r="U29" s="304">
        <f t="shared" si="4"/>
        <v>0.32628834872009382</v>
      </c>
      <c r="V29" s="304">
        <f t="shared" si="5"/>
        <v>0.29580185393495673</v>
      </c>
      <c r="W29" s="304">
        <f t="shared" si="6"/>
        <v>0.26652281171804204</v>
      </c>
      <c r="X29" s="305">
        <f t="shared" si="7"/>
        <v>0.23835417586100816</v>
      </c>
      <c r="Y29" s="304">
        <f t="shared" si="8"/>
        <v>0.21120894431973225</v>
      </c>
      <c r="Z29" s="304">
        <f t="shared" si="9"/>
        <v>0.1850088202518847</v>
      </c>
      <c r="AA29" s="304">
        <f t="shared" si="10"/>
        <v>0.15968308269311993</v>
      </c>
      <c r="AB29" s="103"/>
      <c r="AC29" s="149">
        <f>SUM(Model_Mthly!$Q29,-IF(AND(leveraged_property,B29&lt;=amort_period),-PMT(AC$3/12,amort_period,loan_amount),0))</f>
        <v>123684.23428220389</v>
      </c>
      <c r="AD29" s="149">
        <f>AD28+IF(AND(leveraged_property,$B29&lt;=amort_period),PPMT(AD$3/12,$B29,amort_period,loan_amount),0)</f>
        <v>9186558.0848815795</v>
      </c>
      <c r="AE29" s="149">
        <f ca="1">SUM(AC29,Model_Mthly!$AA29,-AD29)</f>
        <v>14885790.77995562</v>
      </c>
      <c r="AF29" s="149">
        <f>SUM(Model_Mthly!$Q29,-IF(AND(leveraged_property,B29&lt;=amort_period),-PMT(AF$3/12,amort_period,loan_amount),0))</f>
        <v>122242.67706384689</v>
      </c>
      <c r="AG29" s="149">
        <f>AG28+IF(AND(leveraged_property,$B29&lt;=amort_period),PPMT(AG$3/12,$B29,amort_period,loan_amount),0)</f>
        <v>9199897.1507789642</v>
      </c>
      <c r="AH29" s="149">
        <f ca="1">SUM(AF29,Model_Mthly!$AA29,-AG29)</f>
        <v>14871010.156839877</v>
      </c>
      <c r="AI29" s="149">
        <f>SUM(Model_Mthly!$Q29,-IF(AND(leveraged_property,B29&lt;=amort_period),-PMT(AI$3/12,amort_period,loan_amount),0))</f>
        <v>120781.37954652018</v>
      </c>
      <c r="AJ29" s="149">
        <f>AJ28+IF(AND(leveraged_property,$B29&lt;=amort_period),PPMT(AJ$3/12,$B29,amort_period,loan_amount),0)</f>
        <v>9212785.1142587122</v>
      </c>
      <c r="AK29" s="149">
        <f ca="1">SUM(AI29,Model_Mthly!$AA29,-AJ29)</f>
        <v>14856660.895842804</v>
      </c>
      <c r="AL29" s="229">
        <f>SUM(Model_Mthly!$Q29,-IF(AND(leveraged_property,B29&lt;=amort_period),-PMT(AL$3/12,amort_period,loan_amount),0))</f>
        <v>119300.77612203479</v>
      </c>
      <c r="AM29" s="229">
        <f>AM28+IF(AND(leveraged_property,$B29&lt;=amort_period),PPMT(AM$3/12,$B29,amort_period,loan_amount),0)</f>
        <v>9225229.8260960262</v>
      </c>
      <c r="AN29" s="229">
        <f ca="1">SUM(AL29,Model_Mthly!$AA29,-AM29)</f>
        <v>14842735.580581004</v>
      </c>
      <c r="AO29" s="149">
        <f>SUM(Model_Mthly!$Q29,-IF(AND(leveraged_property,B29&lt;=amort_period),-PMT(AO$3/12,amort_period,loan_amount),0))</f>
        <v>117801.30988786259</v>
      </c>
      <c r="AP29" s="162">
        <f>AP28+IF(AND(leveraged_property,$B29&lt;=amort_period),PPMT(AP$3/12,$B29,amort_period,loan_amount),0)</f>
        <v>9237239.4604615886</v>
      </c>
      <c r="AQ29" s="149">
        <f ca="1">SUM(AO29,Model_Mthly!$AA29,-AP29)</f>
        <v>14829226.479981272</v>
      </c>
      <c r="AR29" s="149">
        <f>SUM(Model_Mthly!$Q29,-IF(AND(leveraged_property,B29&lt;=amort_period),-PMT(AR$3/12,amort_period,loan_amount),0))</f>
        <v>116283.43136048791</v>
      </c>
      <c r="AS29" s="162">
        <f>AS28+IF(AND(leveraged_property,$B29&lt;=amort_period),PPMT(AS$3/12,$B29,amort_period,loan_amount),0)</f>
        <v>9248822.4844815042</v>
      </c>
      <c r="AT29" s="149">
        <f ca="1">SUM(AR29,Model_Mthly!$AA29,-AS29)</f>
        <v>14816125.577433979</v>
      </c>
      <c r="AU29" s="149">
        <f>SUM(Model_Mthly!$Q29,-IF(AND(leveraged_property,B29&lt;=amort_period),-PMT(AU$3/12,amort_period,loan_amount),0))</f>
        <v>114747.59720949263</v>
      </c>
      <c r="AV29" s="162">
        <f>AV28+IF(AND(leveraged_property,$B29&lt;=amort_period),PPMT(AV$3/12,$B29,amort_period,loan_amount),0)</f>
        <v>9259987.6278615221</v>
      </c>
      <c r="AW29" s="149">
        <f ca="1">SUM(AU29,Model_Mthly!$AA29,-AV29)</f>
        <v>14803424.599902965</v>
      </c>
      <c r="AX29" s="103"/>
      <c r="AY29" s="288">
        <f ca="1">IF(AND(leveraged_property,down_payment&gt;0),IRR(($AC$4:AC28,AE29),),"N/A")</f>
        <v>1.8418533275457262E-2</v>
      </c>
      <c r="AZ29" s="288">
        <f ca="1">IF(AND(leveraged_property,down_payment&gt;0),IRR(($AF$4:AF28,AH29),),"N/A")</f>
        <v>1.8271172353368462E-2</v>
      </c>
      <c r="BA29" s="288">
        <f ca="1">IF(AND(leveraged_property,down_payment&gt;0),IRR(($AI$4:AI28,AK29),),"N/A")</f>
        <v>1.8123290140576377E-2</v>
      </c>
      <c r="BB29" s="303">
        <f ca="1">IF(AND(leveraged_property,down_payment&gt;0),IRR(($AL$4:AL28,AN29),),"N/A")</f>
        <v>1.7974906858046803E-2</v>
      </c>
      <c r="BC29" s="288">
        <f ca="1">IF(AND(leveraged_property,down_payment&gt;0),IRR(($AO$4:AO28,AQ29),),"N/A")</f>
        <v>1.7826042523081106E-2</v>
      </c>
      <c r="BD29" s="288">
        <f ca="1">IF(AND(leveraged_property,down_payment&gt;0),IRR(($AR$4:AR28,AT29),),"N/A")</f>
        <v>1.7676716912781193E-2</v>
      </c>
      <c r="BE29" s="288">
        <f ca="1">IF(AND(leveraged_property,down_payment&gt;0),IRR(($AU$4:AU28,AW29),),"N/A")</f>
        <v>1.7526949529843131E-2</v>
      </c>
      <c r="BF29" s="103"/>
      <c r="BG29" s="290">
        <f ca="1">IF(AND(leveraged_property,down_payment&gt;0),((1+AY29)^12)-1,"N/A")</f>
        <v>0.24484571462193538</v>
      </c>
      <c r="BH29" s="290">
        <f ca="1">IF(AND(leveraged_property,down_payment&gt;0),((1+AZ29)^12)-1,"N/A")</f>
        <v>0.24268594605183846</v>
      </c>
      <c r="BI29" s="290">
        <f ca="1">IF(AND(leveraged_property,down_payment&gt;0),((1+BA29)^12)-1,"N/A")</f>
        <v>0.2405219908909455</v>
      </c>
      <c r="BJ29" s="305">
        <f ca="1">IF(AND(leveraged_property,down_payment&gt;0),((1+BB29)^12)-1,"N/A")</f>
        <v>0.23835417586100816</v>
      </c>
      <c r="BK29" s="290">
        <f ca="1">IF(AND(leveraged_property,down_payment&gt;0),((1+BC29)^12)-1,"N/A")</f>
        <v>0.23618282284606162</v>
      </c>
      <c r="BL29" s="290">
        <f ca="1">IF(AND(leveraged_property,down_payment&gt;0),((1+BD29)^12)-1,"N/A")</f>
        <v>0.23400824837535694</v>
      </c>
      <c r="BM29" s="290">
        <f ca="1">IF(AND(leveraged_property,down_payment&gt;0),((1+BE29)^12)-1,"N/A")</f>
        <v>0.23183076314615181</v>
      </c>
    </row>
    <row r="30" spans="1:65">
      <c r="A30" s="137">
        <f>Model_Mthly!A30</f>
        <v>40954</v>
      </c>
      <c r="B30" s="138">
        <f>Model_Mthly!B30</f>
        <v>26</v>
      </c>
      <c r="C30" s="223"/>
      <c r="D30" s="139">
        <f>Model_Mthly!AQ30</f>
        <v>66676.849122034793</v>
      </c>
      <c r="E30" s="231">
        <f>IF(OR($H$3&lt;=0.0075,$H$3=""),0,SUM(Model_Mthly!AQ30,(SUM(Model_Mthly!Q31:Q42)/$E$3)*(1-cost_of_sale),-Model_Mthly!V30))</f>
        <v>17255492.638569191</v>
      </c>
      <c r="F30" s="231">
        <f>IF(OR($H$3&lt;=0.0075,$H$3=""),0,SUM(Model_Mthly!AQ30,(SUM(Model_Mthly!Q31:Q42)/$F$3)*(1-cost_of_sale),-Model_Mthly!V30))</f>
        <v>16375413.039776361</v>
      </c>
      <c r="G30" s="231">
        <f>IF(OR($H$3&lt;=0.0075,$H$3=""),0,SUM(Model_Mthly!AQ30,(SUM(Model_Mthly!Q31:Q42)/$G$3)*(1-cost_of_sale),-Model_Mthly!V30))</f>
        <v>15552112.769937912</v>
      </c>
      <c r="H30" s="232">
        <f>IF(OR($H$3&lt;=0.0075,$H$3=""),0,SUM(Model_Mthly!AQ30,(SUM(Model_Mthly!Q31:Q42)/$H$3)*(1-cost_of_sale),-Model_Mthly!V30))</f>
        <v>14780268.766964363</v>
      </c>
      <c r="I30" s="231">
        <f>IF(OR($H$3&lt;=0.0075,$H$3=""),0,SUM(Model_Mthly!AQ30,(SUM(Model_Mthly!Q31:Q42)/$I$3)*(1-cost_of_sale),-Model_Mthly!V30))</f>
        <v>14055203.18841345</v>
      </c>
      <c r="J30" s="231">
        <f>IF(OR($H$3&lt;=0.0075,$H$3=""),0,SUM(Model_Mthly!AQ30,(SUM(Model_Mthly!Q31:Q42)/$J$3)*(1-cost_of_sale),-Model_Mthly!V30))</f>
        <v>13372788.526247891</v>
      </c>
      <c r="K30" s="231">
        <f>IF(OR($H$3&lt;=0.0075,$H$3=""),0,SUM(Model_Mthly!AQ30,(SUM(Model_Mthly!Q31:Q42)/$K$3)*(1-cost_of_sale),-Model_Mthly!V30))</f>
        <v>12729368.98763465</v>
      </c>
      <c r="L30" s="160"/>
      <c r="M30" s="302">
        <f>IF(OR($H$3&lt;=0.0075,$H$3="",down_payment&lt;=0),"N/A",IRR(($D$4:D29,E30),))</f>
        <v>2.3069544569982059E-2</v>
      </c>
      <c r="N30" s="288">
        <f>IF(OR($H$3&lt;=0.0075,$H$3="",down_payment&lt;=0),"N/A",IRR(($D$4:D29,F30),))</f>
        <v>2.1169023496415893E-2</v>
      </c>
      <c r="O30" s="288">
        <f>IF(OR($H$3&lt;=0.0075,$H$3="",down_payment&lt;=0),"N/A",IRR(($D$4:D29,G30),))</f>
        <v>1.9304731811687827E-2</v>
      </c>
      <c r="P30" s="303">
        <f>IF(OR($H$3&lt;=0.0075,$H$3="",down_payment&lt;=0),"N/A",IRR(($D$4:D29,H30),))</f>
        <v>1.7473420331597368E-2</v>
      </c>
      <c r="Q30" s="288">
        <f>IF(OR($H$3&lt;=0.0075,$H$3="",down_payment&lt;=0),"N/A",IRR(($D$4:D29,I30),))</f>
        <v>1.5672098080363614E-2</v>
      </c>
      <c r="R30" s="288">
        <f>IF(OR($H$3&lt;=0.0075,$H$3="",down_payment&lt;=0),"N/A",IRR(($D$4:D29,J30),))</f>
        <v>1.3897998013370969E-2</v>
      </c>
      <c r="S30" s="288">
        <f>IF(OR($H$3&lt;=0.0075,$H$3="",down_payment&lt;=0),"N/A",IRR(($D$4:D29,K30),))</f>
        <v>1.2148547468471844E-2</v>
      </c>
      <c r="T30" s="233"/>
      <c r="U30" s="304">
        <f t="shared" si="4"/>
        <v>0.31480660712405295</v>
      </c>
      <c r="V30" s="304">
        <f t="shared" si="5"/>
        <v>0.2857945702822895</v>
      </c>
      <c r="W30" s="304">
        <f t="shared" si="6"/>
        <v>0.25790685421211146</v>
      </c>
      <c r="X30" s="305">
        <f t="shared" si="7"/>
        <v>0.23105335076081479</v>
      </c>
      <c r="Y30" s="304">
        <f t="shared" si="8"/>
        <v>0.20515321406685327</v>
      </c>
      <c r="Z30" s="304">
        <f t="shared" si="9"/>
        <v>0.18013362926679743</v>
      </c>
      <c r="AA30" s="304">
        <f t="shared" si="10"/>
        <v>0.15592877329079657</v>
      </c>
      <c r="AB30" s="103"/>
      <c r="AC30" s="149">
        <f>SUM(Model_Mthly!$Q30,-IF(AND(leveraged_property,B30&lt;=amort_period),-PMT(AC$3/12,amort_period,loan_amount),0))</f>
        <v>71060.307282203896</v>
      </c>
      <c r="AD30" s="149">
        <f>AD29+IF(AND(leveraged_property,$B30&lt;=amort_period),PPMT(AD$3/12,$B30,amort_period,loan_amount),0)</f>
        <v>9173365.046999773</v>
      </c>
      <c r="AE30" s="149">
        <f ca="1">SUM(AC30,Model_Mthly!$AA30,-AD30)</f>
        <v>14824859.352462428</v>
      </c>
      <c r="AF30" s="149">
        <f>SUM(Model_Mthly!$Q30,-IF(AND(leveraged_property,B30&lt;=amort_period),-PMT(AF$3/12,amort_period,loan_amount),0))</f>
        <v>69618.750063846892</v>
      </c>
      <c r="AG30" s="149">
        <f>AG29+IF(AND(leveraged_property,$B30&lt;=amort_period),PPMT(AG$3/12,$B30,amort_period,loan_amount),0)</f>
        <v>9187232.0013877228</v>
      </c>
      <c r="AH30" s="149">
        <f ca="1">SUM(AF30,Model_Mthly!$AA30,-AG30)</f>
        <v>14809550.84085612</v>
      </c>
      <c r="AI30" s="149">
        <f>SUM(Model_Mthly!$Q30,-IF(AND(leveraged_property,B30&lt;=amort_period),-PMT(AI$3/12,amort_period,loan_amount),0))</f>
        <v>68157.452546520188</v>
      </c>
      <c r="AJ30" s="149">
        <f>AJ29+IF(AND(leveraged_property,$B30&lt;=amort_period),PPMT(AJ$3/12,$B30,amort_period,loan_amount),0)</f>
        <v>9200631.6974301133</v>
      </c>
      <c r="AK30" s="149">
        <f ca="1">SUM(AI30,Model_Mthly!$AA30,-AJ30)</f>
        <v>14794689.847296404</v>
      </c>
      <c r="AL30" s="229">
        <f>SUM(Model_Mthly!$Q30,-IF(AND(leveraged_property,B30&lt;=amort_period),-PMT(AL$3/12,amort_period,loan_amount),0))</f>
        <v>66676.849122034793</v>
      </c>
      <c r="AM30" s="229">
        <f>AM29+IF(AND(leveraged_property,$B30&lt;=amort_period),PPMT(AM$3/12,$B30,amort_period,loan_amount),0)</f>
        <v>9213572.1743376683</v>
      </c>
      <c r="AN30" s="229">
        <f ca="1">SUM(AL30,Model_Mthly!$AA30,-AM30)</f>
        <v>14780268.766964363</v>
      </c>
      <c r="AO30" s="149">
        <f>SUM(Model_Mthly!$Q30,-IF(AND(leveraged_property,B30&lt;=amort_period),-PMT(AO$3/12,amort_period,loan_amount),0))</f>
        <v>65177.382887862594</v>
      </c>
      <c r="AP30" s="162">
        <f>AP29+IF(AND(leveraged_property,$B30&lt;=amort_period),PPMT(AP$3/12,$B30,amort_period,loan_amount),0)</f>
        <v>9226061.8115141634</v>
      </c>
      <c r="AQ30" s="149">
        <f ca="1">SUM(AO30,Model_Mthly!$AA30,-AP30)</f>
        <v>14766279.663553694</v>
      </c>
      <c r="AR30" s="149">
        <f>SUM(Model_Mthly!$Q30,-IF(AND(leveraged_property,B30&lt;=amort_period),-PMT(AR$3/12,amort_period,loan_amount),0))</f>
        <v>63659.504360487917</v>
      </c>
      <c r="AS30" s="162">
        <f>AS29+IF(AND(leveraged_property,$B30&lt;=amort_period),PPMT(AS$3/12,$B30,amort_period,loan_amount),0)</f>
        <v>9238109.2970144004</v>
      </c>
      <c r="AT30" s="149">
        <f ca="1">SUM(AR30,Model_Mthly!$AA30,-AS30)</f>
        <v>14752714.299526084</v>
      </c>
      <c r="AU30" s="149">
        <f>SUM(Model_Mthly!$Q30,-IF(AND(leveraged_property,B30&lt;=amort_period),-PMT(AU$3/12,amort_period,loan_amount),0))</f>
        <v>62123.67020949263</v>
      </c>
      <c r="AV30" s="162">
        <f>AV29+IF(AND(leveraged_property,$B30&lt;=amort_period),PPMT(AV$3/12,$B30,amort_period,loan_amount),0)</f>
        <v>9249723.5960494597</v>
      </c>
      <c r="AW30" s="149">
        <f ca="1">SUM(AU30,Model_Mthly!$AA30,-AV30)</f>
        <v>14739564.166340029</v>
      </c>
      <c r="AX30" s="103"/>
      <c r="AY30" s="288">
        <f ca="1">IF(AND(leveraged_property,down_payment&gt;0),IRR(($AC$4:AC29,AE30),),"N/A")</f>
        <v>1.7917199555635279E-2</v>
      </c>
      <c r="AZ30" s="288">
        <f ca="1">IF(AND(leveraged_property,down_payment&gt;0),IRR(($AF$4:AF29,AH30),),"N/A")</f>
        <v>1.7769800345239065E-2</v>
      </c>
      <c r="BA30" s="288">
        <f ca="1">IF(AND(leveraged_property,down_payment&gt;0),IRR(($AI$4:AI29,AK30),),"N/A")</f>
        <v>1.7621867007848062E-2</v>
      </c>
      <c r="BB30" s="303">
        <f ca="1">IF(AND(leveraged_property,down_payment&gt;0),IRR(($AL$4:AL29,AN30),),"N/A")</f>
        <v>1.7473420331597368E-2</v>
      </c>
      <c r="BC30" s="288">
        <f ca="1">IF(AND(leveraged_property,down_payment&gt;0),IRR(($AO$4:AO29,AQ30),),"N/A")</f>
        <v>1.73244808952716E-2</v>
      </c>
      <c r="BD30" s="288">
        <f ca="1">IF(AND(leveraged_property,down_payment&gt;0),IRR(($AR$4:AR29,AT30),),"N/A")</f>
        <v>1.7175069030573469E-2</v>
      </c>
      <c r="BE30" s="288">
        <f ca="1">IF(AND(leveraged_property,down_payment&gt;0),IRR(($AU$4:AU29,AW30),),"N/A")</f>
        <v>1.7025204786794836E-2</v>
      </c>
      <c r="BF30" s="103"/>
      <c r="BG30" s="290">
        <f ca="1">IF(AND(leveraged_property,down_payment&gt;0),((1+AY30)^12)-1,"N/A")</f>
        <v>0.23751203562612022</v>
      </c>
      <c r="BH30" s="290">
        <f ca="1">IF(AND(leveraged_property,down_payment&gt;0),((1+AZ30)^12)-1,"N/A")</f>
        <v>0.23536337647325034</v>
      </c>
      <c r="BI30" s="290">
        <f ca="1">IF(AND(leveraged_property,down_payment&gt;0),((1+BA30)^12)-1,"N/A")</f>
        <v>0.23321037014917767</v>
      </c>
      <c r="BJ30" s="305">
        <f ca="1">IF(AND(leveraged_property,down_payment&gt;0),((1+BB30)^12)-1,"N/A")</f>
        <v>0.23105335076081479</v>
      </c>
      <c r="BK30" s="290">
        <f ca="1">IF(AND(leveraged_property,down_payment&gt;0),((1+BC30)^12)-1,"N/A")</f>
        <v>0.22889264746986049</v>
      </c>
      <c r="BL30" s="290">
        <f ca="1">IF(AND(leveraged_property,down_payment&gt;0),((1+BD30)^12)-1,"N/A")</f>
        <v>0.22672858396124229</v>
      </c>
      <c r="BM30" s="290">
        <f ca="1">IF(AND(leveraged_property,down_payment&gt;0),((1+BE30)^12)-1,"N/A")</f>
        <v>0.22456147795247894</v>
      </c>
    </row>
    <row r="31" spans="1:65">
      <c r="A31" s="137">
        <f>Model_Mthly!A31</f>
        <v>40983</v>
      </c>
      <c r="B31" s="138">
        <f>Model_Mthly!B31</f>
        <v>27</v>
      </c>
      <c r="C31" s="223"/>
      <c r="D31" s="139">
        <f>Model_Mthly!AQ31</f>
        <v>119300.77612203479</v>
      </c>
      <c r="E31" s="231">
        <f>IF(OR($H$3&lt;=0.0075,$H$3=""),0,SUM(Model_Mthly!AQ31,(SUM(Model_Mthly!Q32:Q43)/$E$3)*(1-cost_of_sale),-Model_Mthly!V31))</f>
        <v>17319436.413059026</v>
      </c>
      <c r="F31" s="231">
        <f>IF(OR($H$3&lt;=0.0075,$H$3=""),0,SUM(Model_Mthly!AQ31,(SUM(Model_Mthly!Q32:Q43)/$F$3)*(1-cost_of_sale),-Model_Mthly!V31))</f>
        <v>16439369.855438618</v>
      </c>
      <c r="G31" s="231">
        <f>IF(OR($H$3&lt;=0.0075,$H$3=""),0,SUM(Model_Mthly!AQ31,(SUM(Model_Mthly!Q32:Q43)/$G$3)*(1-cost_of_sale),-Model_Mthly!V31))</f>
        <v>15616081.785406614</v>
      </c>
      <c r="H31" s="232">
        <f>IF(OR($H$3&lt;=0.0075,$H$3=""),0,SUM(Model_Mthly!AQ31,(SUM(Model_Mthly!Q32:Q43)/$H$3)*(1-cost_of_sale),-Model_Mthly!V31))</f>
        <v>14844249.219751613</v>
      </c>
      <c r="I31" s="231">
        <f>IF(OR($H$3&lt;=0.0075,$H$3=""),0,SUM(Model_Mthly!AQ31,(SUM(Model_Mthly!Q32:Q43)/$I$3)*(1-cost_of_sale),-Model_Mthly!V31))</f>
        <v>14119194.385348434</v>
      </c>
      <c r="J31" s="231">
        <f>IF(OR($H$3&lt;=0.0075,$H$3=""),0,SUM(Model_Mthly!AQ31,(SUM(Model_Mthly!Q32:Q43)/$J$3)*(1-cost_of_sale),-Model_Mthly!V31))</f>
        <v>13436789.835321905</v>
      </c>
      <c r="K31" s="231">
        <f>IF(OR($H$3&lt;=0.0075,$H$3=""),0,SUM(Model_Mthly!AQ31,(SUM(Model_Mthly!Q32:Q43)/$K$3)*(1-cost_of_sale),-Model_Mthly!V31))</f>
        <v>12793379.831011185</v>
      </c>
      <c r="L31" s="160"/>
      <c r="M31" s="302">
        <f>IF(OR($H$3&lt;=0.0075,$H$3="",down_payment&lt;=0),"N/A",IRR(($D$4:D30,E31),))</f>
        <v>2.2536508616677983E-2</v>
      </c>
      <c r="N31" s="288">
        <f>IF(OR($H$3&lt;=0.0075,$H$3="",down_payment&lt;=0),"N/A",IRR(($D$4:D30,F31),))</f>
        <v>2.071735189497453E-2</v>
      </c>
      <c r="O31" s="288">
        <f>IF(OR($H$3&lt;=0.0075,$H$3="",down_payment&lt;=0),"N/A",IRR(($D$4:D30,G31),))</f>
        <v>1.8933134175030356E-2</v>
      </c>
      <c r="P31" s="303">
        <f>IF(OR($H$3&lt;=0.0075,$H$3="",down_payment&lt;=0),"N/A",IRR(($D$4:D30,H31),))</f>
        <v>1.7180748743178979E-2</v>
      </c>
      <c r="Q31" s="288">
        <f>IF(OR($H$3&lt;=0.0075,$H$3="",down_payment&lt;=0),"N/A",IRR(($D$4:D30,I31),))</f>
        <v>1.5457337088580266E-2</v>
      </c>
      <c r="R31" s="288">
        <f>IF(OR($H$3&lt;=0.0075,$H$3="",down_payment&lt;=0),"N/A",IRR(($D$4:D30,J31),))</f>
        <v>1.3760256108183481E-2</v>
      </c>
      <c r="S31" s="288">
        <f>IF(OR($H$3&lt;=0.0075,$H$3="",down_payment&lt;=0),"N/A",IRR(($D$4:D30,K31),))</f>
        <v>1.2087049849494666E-2</v>
      </c>
      <c r="T31" s="233"/>
      <c r="U31" s="304">
        <f t="shared" si="4"/>
        <v>0.30660969386773629</v>
      </c>
      <c r="V31" s="304">
        <f t="shared" si="5"/>
        <v>0.27898653570279897</v>
      </c>
      <c r="W31" s="304">
        <f t="shared" si="6"/>
        <v>0.25241488589859684</v>
      </c>
      <c r="X31" s="305">
        <f t="shared" si="7"/>
        <v>0.22681078432177881</v>
      </c>
      <c r="Y31" s="304">
        <f t="shared" si="8"/>
        <v>0.20209885293991814</v>
      </c>
      <c r="Z31" s="304">
        <f t="shared" si="9"/>
        <v>0.17821115836507495</v>
      </c>
      <c r="AA31" s="304">
        <f t="shared" si="10"/>
        <v>0.15508625131142151</v>
      </c>
      <c r="AB31" s="103"/>
      <c r="AC31" s="149">
        <f>SUM(Model_Mthly!$Q31,-IF(AND(leveraged_property,B31&lt;=amort_period),-PMT(AC$3/12,amort_period,loan_amount),0))</f>
        <v>123684.23428220389</v>
      </c>
      <c r="AD31" s="149">
        <f>AD30+IF(AND(leveraged_property,$B31&lt;=amort_period),PPMT(AD$3/12,$B31,amort_period,loan_amount),0)</f>
        <v>9160119.786676351</v>
      </c>
      <c r="AE31" s="149">
        <f ca="1">SUM(AC31,Model_Mthly!$AA31,-AD31)</f>
        <v>14890373.982910849</v>
      </c>
      <c r="AF31" s="149">
        <f>SUM(Model_Mthly!$Q31,-IF(AND(leveraged_property,B31&lt;=amort_period),-PMT(AF$3/12,amort_period,loan_amount),0))</f>
        <v>122242.67706384689</v>
      </c>
      <c r="AG31" s="149">
        <f>AG30+IF(AND(leveraged_property,$B31&lt;=amort_period),PPMT(AG$3/12,$B31,amort_period,loan_amount),0)</f>
        <v>9174514.080540685</v>
      </c>
      <c r="AH31" s="149">
        <f ca="1">SUM(AF31,Model_Mthly!$AA31,-AG31)</f>
        <v>14874538.131828157</v>
      </c>
      <c r="AI31" s="149">
        <f>SUM(Model_Mthly!$Q31,-IF(AND(leveraged_property,B31&lt;=amort_period),-PMT(AI$3/12,amort_period,loan_amount),0))</f>
        <v>120781.37954652018</v>
      </c>
      <c r="AJ31" s="149">
        <f>AJ30+IF(AND(leveraged_property,$B31&lt;=amort_period),PPMT(AJ$3/12,$B31,amort_period,loan_amount),0)</f>
        <v>9188425.1094028894</v>
      </c>
      <c r="AK31" s="149">
        <f ca="1">SUM(AI31,Model_Mthly!$AA31,-AJ31)</f>
        <v>14859165.805448627</v>
      </c>
      <c r="AL31" s="229">
        <f>SUM(Model_Mthly!$Q31,-IF(AND(leveraged_property,B31&lt;=amort_period),-PMT(AL$3/12,amort_period,loan_amount),0))</f>
        <v>119300.77612203479</v>
      </c>
      <c r="AM31" s="229">
        <f>AM30+IF(AND(leveraged_property,$B31&lt;=amort_period),PPMT(AM$3/12,$B31,amort_period,loan_amount),0)</f>
        <v>9201861.0916754175</v>
      </c>
      <c r="AN31" s="229">
        <f ca="1">SUM(AL31,Model_Mthly!$AA31,-AM31)</f>
        <v>14844249.219751613</v>
      </c>
      <c r="AO31" s="149">
        <f>SUM(Model_Mthly!$Q31,-IF(AND(leveraged_property,B31&lt;=amort_period),-PMT(AO$3/12,amort_period,loan_amount),0))</f>
        <v>117801.30988786259</v>
      </c>
      <c r="AP31" s="162">
        <f>AP30+IF(AND(leveraged_property,$B31&lt;=amort_period),PPMT(AP$3/12,$B31,amort_period,loan_amount),0)</f>
        <v>9214830.6029988639</v>
      </c>
      <c r="AQ31" s="149">
        <f ca="1">SUM(AO31,Model_Mthly!$AA31,-AP31)</f>
        <v>14829780.242193997</v>
      </c>
      <c r="AR31" s="149">
        <f>SUM(Model_Mthly!$Q31,-IF(AND(leveraged_property,B31&lt;=amort_period),-PMT(AR$3/12,amort_period,loan_amount),0))</f>
        <v>116283.43136048791</v>
      </c>
      <c r="AS31" s="162">
        <f>AS30+IF(AND(leveraged_property,$B31&lt;=amort_period),PPMT(AS$3/12,$B31,amort_period,loan_amount),0)</f>
        <v>9227342.54360996</v>
      </c>
      <c r="AT31" s="149">
        <f ca="1">SUM(AR31,Model_Mthly!$AA31,-AS31)</f>
        <v>14815750.423055524</v>
      </c>
      <c r="AU31" s="149">
        <f>SUM(Model_Mthly!$Q31,-IF(AND(leveraged_property,B31&lt;=amort_period),-PMT(AU$3/12,amort_period,loan_amount),0))</f>
        <v>114747.59720949263</v>
      </c>
      <c r="AV31" s="162">
        <f>AV30+IF(AND(leveraged_property,$B31&lt;=amort_period),PPMT(AV$3/12,$B31,amort_period,loan_amount),0)</f>
        <v>9239406.1057383772</v>
      </c>
      <c r="AW31" s="149">
        <f ca="1">SUM(AU31,Model_Mthly!$AA31,-AV31)</f>
        <v>14802151.026776111</v>
      </c>
      <c r="AX31" s="103"/>
      <c r="AY31" s="288">
        <f ca="1">IF(AND(leveraged_property,down_payment&gt;0),IRR(($AC$4:AC30,AE31),),"N/A")</f>
        <v>1.7623485538957082E-2</v>
      </c>
      <c r="AZ31" s="288">
        <f ca="1">IF(AND(leveraged_property,down_payment&gt;0),IRR(($AF$4:AF30,AH31),),"N/A")</f>
        <v>1.7476446863183146E-2</v>
      </c>
      <c r="BA31" s="288">
        <f ca="1">IF(AND(leveraged_property,down_payment&gt;0),IRR(($AI$4:AI30,AK31),),"N/A")</f>
        <v>1.7328860823029146E-2</v>
      </c>
      <c r="BB31" s="303">
        <f ca="1">IF(AND(leveraged_property,down_payment&gt;0),IRR(($AL$4:AL30,AN31),),"N/A")</f>
        <v>1.7180748743178979E-2</v>
      </c>
      <c r="BC31" s="288">
        <f ca="1">IF(AND(leveraged_property,down_payment&gt;0),IRR(($AO$4:AO30,AQ31),),"N/A")</f>
        <v>1.7032131736401335E-2</v>
      </c>
      <c r="BD31" s="288">
        <f ca="1">IF(AND(leveraged_property,down_payment&gt;0),IRR(($AR$4:AR30,AT31),),"N/A")</f>
        <v>1.6883030664562506E-2</v>
      </c>
      <c r="BE31" s="288">
        <f ca="1">IF(AND(leveraged_property,down_payment&gt;0),IRR(($AU$4:AU30,AW31),),"N/A")</f>
        <v>1.673346610211952E-2</v>
      </c>
      <c r="BF31" s="103"/>
      <c r="BG31" s="290">
        <f ca="1">IF(AND(leveraged_property,down_payment&gt;0),((1+AY31)^12)-1,"N/A")</f>
        <v>0.23323390745952643</v>
      </c>
      <c r="BH31" s="290">
        <f ca="1">IF(AND(leveraged_property,down_payment&gt;0),((1+AZ31)^12)-1,"N/A")</f>
        <v>0.23109729352410291</v>
      </c>
      <c r="BI31" s="290">
        <f ca="1">IF(AND(leveraged_property,down_payment&gt;0),((1+BA31)^12)-1,"N/A")</f>
        <v>0.22895613858099306</v>
      </c>
      <c r="BJ31" s="305">
        <f ca="1">IF(AND(leveraged_property,down_payment&gt;0),((1+BB31)^12)-1,"N/A")</f>
        <v>0.22681078432177881</v>
      </c>
      <c r="BK31" s="290">
        <f ca="1">IF(AND(leveraged_property,down_payment&gt;0),((1+BC31)^12)-1,"N/A")</f>
        <v>0.22466156742958154</v>
      </c>
      <c r="BL31" s="290">
        <f ca="1">IF(AND(leveraged_property,down_payment&gt;0),((1+BD31)^12)-1,"N/A")</f>
        <v>0.22250881903059705</v>
      </c>
      <c r="BM31" s="290">
        <f ca="1">IF(AND(leveraged_property,down_payment&gt;0),((1+BE31)^12)-1,"N/A")</f>
        <v>0.22035286418775812</v>
      </c>
    </row>
    <row r="32" spans="1:65">
      <c r="A32" s="137">
        <f>Model_Mthly!A32</f>
        <v>41014</v>
      </c>
      <c r="B32" s="138">
        <f>Model_Mthly!B32</f>
        <v>28</v>
      </c>
      <c r="C32" s="223"/>
      <c r="D32" s="139">
        <f>Model_Mthly!AQ32</f>
        <v>119285.67580953479</v>
      </c>
      <c r="E32" s="231">
        <f>IF(OR($H$3&lt;=0.0075,$H$3=""),0,SUM(Model_Mthly!AQ32,(SUM(Model_Mthly!Q33:Q44)/$E$3)*(1-cost_of_sale),-Model_Mthly!V32))</f>
        <v>17330788.337690528</v>
      </c>
      <c r="F32" s="231">
        <f>IF(OR($H$3&lt;=0.0075,$H$3=""),0,SUM(Model_Mthly!AQ32,(SUM(Model_Mthly!Q33:Q44)/$F$3)*(1-cost_of_sale),-Model_Mthly!V32))</f>
        <v>16450735.037853904</v>
      </c>
      <c r="G32" s="231">
        <f>IF(OR($H$3&lt;=0.0075,$H$3=""),0,SUM(Model_Mthly!AQ32,(SUM(Model_Mthly!Q33:Q44)/$G$3)*(1-cost_of_sale),-Model_Mthly!V32))</f>
        <v>15627459.370264806</v>
      </c>
      <c r="H32" s="232">
        <f>IF(OR($H$3&lt;=0.0075,$H$3=""),0,SUM(Model_Mthly!AQ32,(SUM(Model_Mthly!Q33:Q44)/$H$3)*(1-cost_of_sale),-Model_Mthly!V32))</f>
        <v>14855638.431900028</v>
      </c>
      <c r="I32" s="231">
        <f>IF(OR($H$3&lt;=0.0075,$H$3=""),0,SUM(Model_Mthly!AQ32,(SUM(Model_Mthly!Q33:Q44)/$I$3)*(1-cost_of_sale),-Model_Mthly!V32))</f>
        <v>14130594.520102814</v>
      </c>
      <c r="J32" s="231">
        <f>IF(OR($H$3&lt;=0.0075,$H$3=""),0,SUM(Model_Mthly!AQ32,(SUM(Model_Mthly!Q33:Q44)/$J$3)*(1-cost_of_sale),-Model_Mthly!V32))</f>
        <v>13448200.25017602</v>
      </c>
      <c r="K32" s="231">
        <f>IF(OR($H$3&lt;=0.0075,$H$3=""),0,SUM(Model_Mthly!AQ32,(SUM(Model_Mthly!Q33:Q44)/$K$3)*(1-cost_of_sale),-Model_Mthly!V32))</f>
        <v>12804799.938530762</v>
      </c>
      <c r="L32" s="160"/>
      <c r="M32" s="302">
        <f>IF(OR($H$3&lt;=0.0075,$H$3="",down_payment&lt;=0),"N/A",IRR(($D$4:D31,E32),))</f>
        <v>2.2042566386578775E-2</v>
      </c>
      <c r="N32" s="288">
        <f>IF(OR($H$3&lt;=0.0075,$H$3="",down_payment&lt;=0),"N/A",IRR(($D$4:D31,F32),))</f>
        <v>2.0298780366886305E-2</v>
      </c>
      <c r="O32" s="288">
        <f>IF(OR($H$3&lt;=0.0075,$H$3="",down_payment&lt;=0),"N/A",IRR(($D$4:D31,G32),))</f>
        <v>1.858873622011523E-2</v>
      </c>
      <c r="P32" s="303">
        <f>IF(OR($H$3&lt;=0.0075,$H$3="",down_payment&lt;=0),"N/A",IRR(($D$4:D31,H32),))</f>
        <v>1.6909458347794993E-2</v>
      </c>
      <c r="Q32" s="288">
        <f>IF(OR($H$3&lt;=0.0075,$H$3="",down_payment&lt;=0),"N/A",IRR(($D$4:D31,I32),))</f>
        <v>1.5258210085749633E-2</v>
      </c>
      <c r="R32" s="288">
        <f>IF(OR($H$3&lt;=0.0075,$H$3="",down_payment&lt;=0),"N/A",IRR(($D$4:D31,J32),))</f>
        <v>1.3632462271166339E-2</v>
      </c>
      <c r="S32" s="288">
        <f>IF(OR($H$3&lt;=0.0075,$H$3="",down_payment&lt;=0),"N/A",IRR(($D$4:D31,K32),))</f>
        <v>1.2029866171117204E-2</v>
      </c>
      <c r="T32" s="233"/>
      <c r="U32" s="304">
        <f t="shared" si="4"/>
        <v>0.29905579883173239</v>
      </c>
      <c r="V32" s="304">
        <f t="shared" si="5"/>
        <v>0.2727069336364436</v>
      </c>
      <c r="W32" s="304">
        <f t="shared" si="6"/>
        <v>0.24734454505442471</v>
      </c>
      <c r="X32" s="305">
        <f t="shared" si="7"/>
        <v>0.22289013361638688</v>
      </c>
      <c r="Y32" s="304">
        <f t="shared" si="8"/>
        <v>0.1992731821706053</v>
      </c>
      <c r="Z32" s="304">
        <f t="shared" si="9"/>
        <v>0.17643010086240984</v>
      </c>
      <c r="AA32" s="304">
        <f t="shared" si="10"/>
        <v>0.1543033357476491</v>
      </c>
      <c r="AB32" s="103"/>
      <c r="AC32" s="149">
        <f>SUM(Model_Mthly!$Q32,-IF(AND(leveraged_property,B32&lt;=amort_period),-PMT(AC$3/12,amort_period,loan_amount),0))</f>
        <v>123669.13396970389</v>
      </c>
      <c r="AD32" s="149">
        <f>AD31+IF(AND(leveraged_property,$B32&lt;=amort_period),PPMT(AD$3/12,$B32,amort_period,loan_amount),0)</f>
        <v>9146822.0971974824</v>
      </c>
      <c r="AE32" s="149">
        <f ca="1">SUM(AC32,Model_Mthly!$AA32,-AD32)</f>
        <v>14903296.126080347</v>
      </c>
      <c r="AF32" s="149">
        <f>SUM(Model_Mthly!$Q32,-IF(AND(leveraged_property,B32&lt;=amort_period),-PMT(AF$3/12,amort_period,loan_amount),0))</f>
        <v>122227.57675134689</v>
      </c>
      <c r="AG32" s="149">
        <f>AG31+IF(AND(leveraged_property,$B32&lt;=amort_period),PPMT(AG$3/12,$B32,amort_period,loan_amount),0)</f>
        <v>9161743.1683567856</v>
      </c>
      <c r="AH32" s="149">
        <f ca="1">SUM(AF32,Model_Mthly!$AA32,-AG32)</f>
        <v>14886933.497702686</v>
      </c>
      <c r="AI32" s="149">
        <f>SUM(Model_Mthly!$Q32,-IF(AND(leveraged_property,B32&lt;=amort_period),-PMT(AI$3/12,amort_period,loan_amount),0))</f>
        <v>120766.27923402018</v>
      </c>
      <c r="AJ32" s="149">
        <f>AJ31+IF(AND(leveraged_property,$B32&lt;=amort_period),PPMT(AJ$3/12,$B32,amort_period,loan_amount),0)</f>
        <v>9176165.1175530478</v>
      </c>
      <c r="AK32" s="149">
        <f ca="1">SUM(AI32,Model_Mthly!$AA32,-AJ32)</f>
        <v>14871050.250989098</v>
      </c>
      <c r="AL32" s="229">
        <f>SUM(Model_Mthly!$Q32,-IF(AND(leveraged_property,B32&lt;=amort_period),-PMT(AL$3/12,amort_period,loan_amount),0))</f>
        <v>119285.67580953479</v>
      </c>
      <c r="AM32" s="229">
        <f>AM31+IF(AND(leveraged_property,$B32&lt;=amort_period),PPMT(AM$3/12,$B32,amort_period,loan_amount),0)</f>
        <v>9190096.333217632</v>
      </c>
      <c r="AN32" s="229">
        <f ca="1">SUM(AL32,Model_Mthly!$AA32,-AM32)</f>
        <v>14855638.431900028</v>
      </c>
      <c r="AO32" s="149">
        <f>SUM(Model_Mthly!$Q32,-IF(AND(leveraged_property,B32&lt;=amort_period),-PMT(AO$3/12,amort_period,loan_amount),0))</f>
        <v>117786.20957536259</v>
      </c>
      <c r="AP32" s="162">
        <f>AP31+IF(AND(leveraged_property,$B32&lt;=amort_period),PPMT(AP$3/12,$B32,amort_period,loan_amount),0)</f>
        <v>9203545.5782760959</v>
      </c>
      <c r="AQ32" s="149">
        <f ca="1">SUM(AO32,Model_Mthly!$AA32,-AP32)</f>
        <v>14840689.720607391</v>
      </c>
      <c r="AR32" s="149">
        <f>SUM(Model_Mthly!$Q32,-IF(AND(leveraged_property,B32&lt;=amort_period),-PMT(AR$3/12,amort_period,loan_amount),0))</f>
        <v>116268.33104798791</v>
      </c>
      <c r="AS32" s="162">
        <f>AS31+IF(AND(leveraged_property,$B32&lt;=amort_period),PPMT(AS$3/12,$B32,amort_period,loan_amount),0)</f>
        <v>9216521.9564384986</v>
      </c>
      <c r="AT32" s="149">
        <f ca="1">SUM(AR32,Model_Mthly!$AA32,-AS32)</f>
        <v>14826195.463917615</v>
      </c>
      <c r="AU32" s="149">
        <f>SUM(Model_Mthly!$Q32,-IF(AND(leveraged_property,B32&lt;=amort_period),-PMT(AU$3/12,amort_period,loan_amount),0))</f>
        <v>114732.49689699263</v>
      </c>
      <c r="AV32" s="162">
        <f>AV31+IF(AND(leveraged_property,$B32&lt;=amort_period),PPMT(AV$3/12,$B32,amort_period,loan_amount),0)</f>
        <v>9229034.8784985915</v>
      </c>
      <c r="AW32" s="149">
        <f ca="1">SUM(AU32,Model_Mthly!$AA32,-AV32)</f>
        <v>14812146.707706526</v>
      </c>
      <c r="AX32" s="103"/>
      <c r="AY32" s="288">
        <f ca="1">IF(AND(leveraged_property,down_payment&gt;0),IRR(($AC$4:AC31,AE32),),"N/A")</f>
        <v>1.7351187922738508E-2</v>
      </c>
      <c r="AZ32" s="288">
        <f ca="1">IF(AND(leveraged_property,down_payment&gt;0),IRR(($AF$4:AF31,AH32),),"N/A")</f>
        <v>1.7204497958406666E-2</v>
      </c>
      <c r="BA32" s="288">
        <f ca="1">IF(AND(leveraged_property,down_payment&gt;0),IRR(($AI$4:AI31,AK32),),"N/A")</f>
        <v>1.7057247482974672E-2</v>
      </c>
      <c r="BB32" s="303">
        <f ca="1">IF(AND(leveraged_property,down_payment&gt;0),IRR(($AL$4:AL31,AN32),),"N/A")</f>
        <v>1.6909458347794993E-2</v>
      </c>
      <c r="BC32" s="288">
        <f ca="1">IF(AND(leveraged_property,down_payment&gt;0),IRR(($AO$4:AO31,AQ32),),"N/A")</f>
        <v>1.6761152190216646E-2</v>
      </c>
      <c r="BD32" s="288">
        <f ca="1">IF(AND(leveraged_property,down_payment&gt;0),IRR(($AR$4:AR31,AT32),),"N/A")</f>
        <v>1.6612350393352661E-2</v>
      </c>
      <c r="BE32" s="288">
        <f ca="1">IF(AND(leveraged_property,down_payment&gt;0),IRR(($AU$4:AU31,AW32),),"N/A")</f>
        <v>1.6463074048377022E-2</v>
      </c>
      <c r="BF32" s="103"/>
      <c r="BG32" s="290">
        <f ca="1">IF(AND(leveraged_property,down_payment&gt;0),((1+AY32)^12)-1,"N/A")</f>
        <v>0.2292798373136482</v>
      </c>
      <c r="BH32" s="290">
        <f ca="1">IF(AND(leveraged_property,down_payment&gt;0),((1+AZ32)^12)-1,"N/A")</f>
        <v>0.22715455254756067</v>
      </c>
      <c r="BI32" s="290">
        <f ca="1">IF(AND(leveraged_property,down_payment&gt;0),((1+BA32)^12)-1,"N/A")</f>
        <v>0.22502453493049335</v>
      </c>
      <c r="BJ32" s="305">
        <f ca="1">IF(AND(leveraged_property,down_payment&gt;0),((1+BB32)^12)-1,"N/A")</f>
        <v>0.22289013361638688</v>
      </c>
      <c r="BK32" s="290">
        <f ca="1">IF(AND(leveraged_property,down_payment&gt;0),((1+BC32)^12)-1,"N/A")</f>
        <v>0.22075169269477013</v>
      </c>
      <c r="BL32" s="290">
        <f ca="1">IF(AND(leveraged_property,down_payment&gt;0),((1+BD32)^12)-1,"N/A")</f>
        <v>0.21860955062541843</v>
      </c>
      <c r="BM32" s="290">
        <f ca="1">IF(AND(leveraged_property,down_payment&gt;0),((1+BE32)^12)-1,"N/A")</f>
        <v>0.21646403971598915</v>
      </c>
    </row>
    <row r="33" spans="1:65">
      <c r="A33" s="137">
        <f>Model_Mthly!A33</f>
        <v>41044</v>
      </c>
      <c r="B33" s="138">
        <f>Model_Mthly!B33</f>
        <v>29</v>
      </c>
      <c r="C33" s="223"/>
      <c r="D33" s="139">
        <f>Model_Mthly!AQ33</f>
        <v>114418.47580953478</v>
      </c>
      <c r="E33" s="231">
        <f>IF(OR($H$3&lt;=0.0075,$H$3=""),0,SUM(Model_Mthly!AQ33,(SUM(Model_Mthly!Q34:Q45)/$E$3)*(1-cost_of_sale),-Model_Mthly!V33))</f>
        <v>17334764.14678894</v>
      </c>
      <c r="F33" s="231">
        <f>IF(OR($H$3&lt;=0.0075,$H$3=""),0,SUM(Model_Mthly!AQ33,(SUM(Model_Mthly!Q34:Q45)/$F$3)*(1-cost_of_sale),-Model_Mthly!V33))</f>
        <v>16454810.035991287</v>
      </c>
      <c r="G33" s="231">
        <f>IF(OR($H$3&lt;=0.0075,$H$3=""),0,SUM(Model_Mthly!AQ33,(SUM(Model_Mthly!Q34:Q45)/$G$3)*(1-cost_of_sale),-Model_Mthly!V33))</f>
        <v>15631627.158148317</v>
      </c>
      <c r="H33" s="232">
        <f>IF(OR($H$3&lt;=0.0075,$H$3=""),0,SUM(Model_Mthly!AQ33,(SUM(Model_Mthly!Q34:Q45)/$H$3)*(1-cost_of_sale),-Model_Mthly!V33))</f>
        <v>14859893.210170535</v>
      </c>
      <c r="I33" s="231">
        <f>IF(OR($H$3&lt;=0.0075,$H$3=""),0,SUM(Model_Mthly!AQ33,(SUM(Model_Mthly!Q34:Q45)/$I$3)*(1-cost_of_sale),-Model_Mthly!V33))</f>
        <v>14134931.01661565</v>
      </c>
      <c r="J33" s="231">
        <f>IF(OR($H$3&lt;=0.0075,$H$3=""),0,SUM(Model_Mthly!AQ33,(SUM(Model_Mthly!Q34:Q45)/$J$3)*(1-cost_of_sale),-Model_Mthly!V33))</f>
        <v>13452613.657975754</v>
      </c>
      <c r="K33" s="231">
        <f>IF(OR($H$3&lt;=0.0075,$H$3=""),0,SUM(Model_Mthly!AQ33,(SUM(Model_Mthly!Q34:Q45)/$K$3)*(1-cost_of_sale),-Model_Mthly!V33))</f>
        <v>12809285.86268671</v>
      </c>
      <c r="L33" s="160"/>
      <c r="M33" s="302">
        <f>IF(OR($H$3&lt;=0.0075,$H$3="",down_payment&lt;=0),"N/A",IRR(($D$4:D32,E33),))</f>
        <v>2.1569787416915263E-2</v>
      </c>
      <c r="N33" s="288">
        <f>IF(OR($H$3&lt;=0.0075,$H$3="",down_payment&lt;=0),"N/A",IRR(($D$4:D32,F33),))</f>
        <v>1.9895509519911016E-2</v>
      </c>
      <c r="O33" s="288">
        <f>IF(OR($H$3&lt;=0.0075,$H$3="",down_payment&lt;=0),"N/A",IRR(($D$4:D32,G33),))</f>
        <v>1.8253844279042961E-2</v>
      </c>
      <c r="P33" s="303">
        <f>IF(OR($H$3&lt;=0.0075,$H$3="",down_payment&lt;=0),"N/A",IRR(($D$4:D32,H33),))</f>
        <v>1.664193639512767E-2</v>
      </c>
      <c r="Q33" s="288">
        <f>IF(OR($H$3&lt;=0.0075,$H$3="",down_payment&lt;=0),"N/A",IRR(($D$4:D32,I33),))</f>
        <v>1.5057160841731945E-2</v>
      </c>
      <c r="R33" s="288">
        <f>IF(OR($H$3&lt;=0.0075,$H$3="",down_payment&lt;=0),"N/A",IRR(($D$4:D32,J33),))</f>
        <v>1.3497092683866006E-2</v>
      </c>
      <c r="S33" s="288">
        <f>IF(OR($H$3&lt;=0.0075,$H$3="",down_payment&lt;=0),"N/A",IRR(($D$4:D32,K33),))</f>
        <v>1.1959481094160075E-2</v>
      </c>
      <c r="T33" s="233"/>
      <c r="U33" s="304">
        <f t="shared" si="4"/>
        <v>0.29186307173629267</v>
      </c>
      <c r="V33" s="304">
        <f t="shared" si="5"/>
        <v>0.26668362333538953</v>
      </c>
      <c r="W33" s="304">
        <f t="shared" si="6"/>
        <v>0.24243220610827065</v>
      </c>
      <c r="X33" s="305">
        <f t="shared" si="7"/>
        <v>0.21903519435227903</v>
      </c>
      <c r="Y33" s="304">
        <f t="shared" si="8"/>
        <v>0.19642641240771996</v>
      </c>
      <c r="Z33" s="304">
        <f t="shared" si="9"/>
        <v>0.17454615249763195</v>
      </c>
      <c r="AA33" s="304">
        <f t="shared" si="10"/>
        <v>0.15334034450139322</v>
      </c>
      <c r="AB33" s="103"/>
      <c r="AC33" s="149">
        <f>SUM(Model_Mthly!$Q33,-IF(AND(leveraged_property,B33&lt;=amort_period),-PMT(AC$3/12,amort_period,loan_amount),0))</f>
        <v>118801.93396970388</v>
      </c>
      <c r="AD33" s="149">
        <f>AD32+IF(AND(leveraged_property,$B33&lt;=amort_period),PPMT(AD$3/12,$B33,amort_period,loan_amount),0)</f>
        <v>9133471.7710310929</v>
      </c>
      <c r="AE33" s="149">
        <f ca="1">SUM(AC33,Model_Mthly!$AA33,-AD33)</f>
        <v>14909082.55024986</v>
      </c>
      <c r="AF33" s="149">
        <f>SUM(Model_Mthly!$Q33,-IF(AND(leveraged_property,B33&lt;=amort_period),-PMT(AF$3/12,amort_period,loan_amount),0))</f>
        <v>117360.37675134688</v>
      </c>
      <c r="AG33" s="149">
        <f>AG32+IF(AND(leveraged_property,$B33&lt;=amort_period),PPMT(AG$3/12,$B33,amort_period,loan_amount),0)</f>
        <v>9148919.0440387856</v>
      </c>
      <c r="AH33" s="149">
        <f ca="1">SUM(AF33,Model_Mthly!$AA33,-AG33)</f>
        <v>14892193.720023813</v>
      </c>
      <c r="AI33" s="149">
        <f>SUM(Model_Mthly!$Q33,-IF(AND(leveraged_property,B33&lt;=amort_period),-PMT(AI$3/12,amort_period,loan_amount),0))</f>
        <v>115899.07923402017</v>
      </c>
      <c r="AJ33" s="149">
        <f>AJ32+IF(AND(leveraged_property,$B33&lt;=amort_period),PPMT(AJ$3/12,$B33,amort_period,loan_amount),0)</f>
        <v>9163851.4882388618</v>
      </c>
      <c r="AK33" s="149">
        <f ca="1">SUM(AI33,Model_Mthly!$AA33,-AJ33)</f>
        <v>14875799.978306407</v>
      </c>
      <c r="AL33" s="229">
        <f>SUM(Model_Mthly!$Q33,-IF(AND(leveraged_property,B33&lt;=amort_period),-PMT(AL$3/12,amort_period,loan_amount),0))</f>
        <v>114418.47580953478</v>
      </c>
      <c r="AM33" s="229">
        <f>AM32+IF(AND(leveraged_property,$B33&lt;=amort_period),PPMT(AM$3/12,$B33,amort_period,loan_amount),0)</f>
        <v>9178277.6529502477</v>
      </c>
      <c r="AN33" s="229">
        <f ca="1">SUM(AL33,Model_Mthly!$AA33,-AM33)</f>
        <v>14859893.210170535</v>
      </c>
      <c r="AO33" s="149">
        <f>SUM(Model_Mthly!$Q33,-IF(AND(leveraged_property,B33&lt;=amort_period),-PMT(AO$3/12,amort_period,loan_amount),0))</f>
        <v>112919.00957536258</v>
      </c>
      <c r="AP33" s="162">
        <f>AP32+IF(AND(leveraged_property,$B33&lt;=amort_period),PPMT(AP$3/12,$B33,amort_period,loan_amount),0)</f>
        <v>9192206.479476532</v>
      </c>
      <c r="AQ33" s="149">
        <f ca="1">SUM(AO33,Model_Mthly!$AA33,-AP33)</f>
        <v>14844464.917410081</v>
      </c>
      <c r="AR33" s="149">
        <f>SUM(Model_Mthly!$Q33,-IF(AND(leveraged_property,B33&lt;=amort_period),-PMT(AR$3/12,amort_period,loan_amount),0))</f>
        <v>111401.1310479879</v>
      </c>
      <c r="AS33" s="162">
        <f>AS32+IF(AND(leveraged_property,$B33&lt;=amort_period),PPMT(AS$3/12,$B33,amort_period,loan_amount),0)</f>
        <v>9205647.2663311791</v>
      </c>
      <c r="AT33" s="149">
        <f ca="1">SUM(AR33,Model_Mthly!$AA33,-AS33)</f>
        <v>14829506.252028057</v>
      </c>
      <c r="AU33" s="149">
        <f>SUM(Model_Mthly!$Q33,-IF(AND(leveraged_property,B33&lt;=amort_period),-PMT(AU$3/12,amort_period,loan_amount),0))</f>
        <v>109865.29689699262</v>
      </c>
      <c r="AV33" s="162">
        <f>AV32+IF(AND(leveraged_property,$B33&lt;=amort_period),PPMT(AV$3/12,$B33,amort_period,loan_amount),0)</f>
        <v>9218609.6344502643</v>
      </c>
      <c r="AW33" s="149">
        <f ca="1">SUM(AU33,Model_Mthly!$AA33,-AV33)</f>
        <v>14815008.04975798</v>
      </c>
      <c r="AX33" s="103"/>
      <c r="AY33" s="288">
        <f ca="1">IF(AND(leveraged_property,down_payment&gt;0),IRR(($AC$4:AC32,AE33),),"N/A")</f>
        <v>1.7082804195206889E-2</v>
      </c>
      <c r="AZ33" s="288">
        <f ca="1">IF(AND(leveraged_property,down_payment&gt;0),IRR(($AF$4:AF32,AH33),),"N/A")</f>
        <v>1.693641434057511E-2</v>
      </c>
      <c r="BA33" s="288">
        <f ca="1">IF(AND(leveraged_property,down_payment&gt;0),IRR(($AI$4:AI32,AK33),),"N/A")</f>
        <v>1.6789450950225007E-2</v>
      </c>
      <c r="BB33" s="303">
        <f ca="1">IF(AND(leveraged_property,down_payment&gt;0),IRR(($AL$4:AL32,AN33),),"N/A")</f>
        <v>1.664193639512767E-2</v>
      </c>
      <c r="BC33" s="288">
        <f ca="1">IF(AND(leveraged_property,down_payment&gt;0),IRR(($AO$4:AO32,AQ33),),"N/A")</f>
        <v>1.6493892830382488E-2</v>
      </c>
      <c r="BD33" s="288">
        <f ca="1">IF(AND(leveraged_property,down_payment&gt;0),IRR(($AR$4:AR32,AT33),),"N/A")</f>
        <v>1.634534215373153E-2</v>
      </c>
      <c r="BE33" s="288">
        <f ca="1">IF(AND(leveraged_property,down_payment&gt;0),IRR(($AU$4:AU32,AW33),),"N/A")</f>
        <v>1.6196305966670519E-2</v>
      </c>
      <c r="BF33" s="103"/>
      <c r="BG33" s="290">
        <f ca="1">IF(AND(leveraged_property,down_payment&gt;0),((1+AY33)^12)-1,"N/A")</f>
        <v>0.22539397639674608</v>
      </c>
      <c r="BH33" s="290">
        <f ca="1">IF(AND(leveraged_property,down_payment&gt;0),((1+AZ33)^12)-1,"N/A")</f>
        <v>0.2232791832849701</v>
      </c>
      <c r="BI33" s="290">
        <f ca="1">IF(AND(leveraged_property,down_payment&gt;0),((1+BA33)^12)-1,"N/A")</f>
        <v>0.22115947044403073</v>
      </c>
      <c r="BJ33" s="305">
        <f ca="1">IF(AND(leveraged_property,down_payment&gt;0),((1+BB33)^12)-1,"N/A")</f>
        <v>0.21903519435227903</v>
      </c>
      <c r="BK33" s="290">
        <f ca="1">IF(AND(leveraged_property,down_payment&gt;0),((1+BC33)^12)-1,"N/A")</f>
        <v>0.21690670637128218</v>
      </c>
      <c r="BL33" s="290">
        <f ca="1">IF(AND(leveraged_property,down_payment&gt;0),((1+BD33)^12)-1,"N/A")</f>
        <v>0.21477435216354901</v>
      </c>
      <c r="BM33" s="290">
        <f ca="1">IF(AND(leveraged_property,down_payment&gt;0),((1+BE33)^12)-1,"N/A")</f>
        <v>0.21263847115429746</v>
      </c>
    </row>
    <row r="34" spans="1:65">
      <c r="A34" s="137">
        <f>Model_Mthly!A34</f>
        <v>41075</v>
      </c>
      <c r="B34" s="138">
        <f>Model_Mthly!B34</f>
        <v>30</v>
      </c>
      <c r="C34" s="223"/>
      <c r="D34" s="139">
        <f>Model_Mthly!AQ34</f>
        <v>106616.60080953478</v>
      </c>
      <c r="E34" s="231">
        <f>IF(OR($H$3&lt;=0.0075,$H$3=""),0,SUM(Model_Mthly!AQ34,(SUM(Model_Mthly!Q35:Q46)/$E$3)*(1-cost_of_sale),-Model_Mthly!V34))</f>
        <v>17333824.096735142</v>
      </c>
      <c r="F34" s="231">
        <f>IF(OR($H$3&lt;=0.0075,$H$3=""),0,SUM(Model_Mthly!AQ34,(SUM(Model_Mthly!Q35:Q46)/$F$3)*(1-cost_of_sale),-Model_Mthly!V34))</f>
        <v>16454037.020079901</v>
      </c>
      <c r="G34" s="231">
        <f>IF(OR($H$3&lt;=0.0075,$H$3=""),0,SUM(Model_Mthly!AQ34,(SUM(Model_Mthly!Q35:Q46)/$G$3)*(1-cost_of_sale),-Model_Mthly!V34))</f>
        <v>15631010.399983061</v>
      </c>
      <c r="H34" s="232">
        <f>IF(OR($H$3&lt;=0.0075,$H$3=""),0,SUM(Model_Mthly!AQ34,(SUM(Model_Mthly!Q35:Q46)/$H$3)*(1-cost_of_sale),-Model_Mthly!V34))</f>
        <v>14859422.943642272</v>
      </c>
      <c r="I34" s="231">
        <f>IF(OR($H$3&lt;=0.0075,$H$3=""),0,SUM(Model_Mthly!AQ34,(SUM(Model_Mthly!Q35:Q46)/$I$3)*(1-cost_of_sale),-Model_Mthly!V34))</f>
        <v>14134598.36344335</v>
      </c>
      <c r="J34" s="231">
        <f>IF(OR($H$3&lt;=0.0075,$H$3=""),0,SUM(Model_Mthly!AQ34,(SUM(Model_Mthly!Q35:Q46)/$J$3)*(1-cost_of_sale),-Model_Mthly!V34))</f>
        <v>13452410.523256132</v>
      </c>
      <c r="K34" s="231">
        <f>IF(OR($H$3&lt;=0.0075,$H$3=""),0,SUM(Model_Mthly!AQ34,(SUM(Model_Mthly!Q35:Q46)/$K$3)*(1-cost_of_sale),-Model_Mthly!V34))</f>
        <v>12809204.845365325</v>
      </c>
      <c r="L34" s="160"/>
      <c r="M34" s="302">
        <f>IF(OR($H$3&lt;=0.0075,$H$3="",down_payment&lt;=0),"N/A",IRR(($D$4:D33,E34),))</f>
        <v>2.1111730603197529E-2</v>
      </c>
      <c r="N34" s="288">
        <f>IF(OR($H$3&lt;=0.0075,$H$3="",down_payment&lt;=0),"N/A",IRR(($D$4:D33,F34),))</f>
        <v>1.9501474062276324E-2</v>
      </c>
      <c r="O34" s="288">
        <f>IF(OR($H$3&lt;=0.0075,$H$3="",down_payment&lt;=0),"N/A",IRR(($D$4:D33,G34),))</f>
        <v>1.792275650042285E-2</v>
      </c>
      <c r="P34" s="303">
        <f>IF(OR($H$3&lt;=0.0075,$H$3="",down_payment&lt;=0),"N/A",IRR(($D$4:D33,H34),))</f>
        <v>1.6372833028291161E-2</v>
      </c>
      <c r="Q34" s="288">
        <f>IF(OR($H$3&lt;=0.0075,$H$3="",down_payment&lt;=0),"N/A",IRR(($D$4:D33,I34),))</f>
        <v>1.4849180898558396E-2</v>
      </c>
      <c r="R34" s="288">
        <f>IF(OR($H$3&lt;=0.0075,$H$3="",down_payment&lt;=0),"N/A",IRR(($D$4:D33,J34),))</f>
        <v>1.3349470476934439E-2</v>
      </c>
      <c r="S34" s="288">
        <f>IF(OR($H$3&lt;=0.0075,$H$3="",down_payment&lt;=0),"N/A",IRR(($D$4:D33,K34),))</f>
        <v>1.1871540257672699E-2</v>
      </c>
      <c r="T34" s="233"/>
      <c r="U34" s="304">
        <f t="shared" si="4"/>
        <v>0.28492916020957204</v>
      </c>
      <c r="V34" s="304">
        <f t="shared" si="5"/>
        <v>0.2608235048957821</v>
      </c>
      <c r="W34" s="304">
        <f t="shared" si="6"/>
        <v>0.23759310696519997</v>
      </c>
      <c r="X34" s="305">
        <f t="shared" si="7"/>
        <v>0.21516870841085334</v>
      </c>
      <c r="Y34" s="304">
        <f t="shared" si="8"/>
        <v>0.19348802647188723</v>
      </c>
      <c r="Z34" s="304">
        <f t="shared" si="9"/>
        <v>0.17249483619654482</v>
      </c>
      <c r="AA34" s="304">
        <f t="shared" si="10"/>
        <v>0.15213819457379407</v>
      </c>
      <c r="AB34" s="103"/>
      <c r="AC34" s="149">
        <f>SUM(Model_Mthly!$Q34,-IF(AND(leveraged_property,B34&lt;=amort_period),-PMT(AC$3/12,amort_period,loan_amount),0))</f>
        <v>111000.05896970388</v>
      </c>
      <c r="AD34" s="149">
        <f>AD33+IF(AND(leveraged_property,$B34&lt;=amort_period),PPMT(AD$3/12,$B34,amort_period,loan_amount),0)</f>
        <v>9120068.5998236276</v>
      </c>
      <c r="AE34" s="149">
        <f ca="1">SUM(AC34,Model_Mthly!$AA34,-AD34)</f>
        <v>14910142.605710451</v>
      </c>
      <c r="AF34" s="149">
        <f>SUM(Model_Mthly!$Q34,-IF(AND(leveraged_property,B34&lt;=amort_period),-PMT(AF$3/12,amort_period,loan_amount),0))</f>
        <v>109558.50175134688</v>
      </c>
      <c r="AG34" s="149">
        <f>AG33+IF(AND(leveraged_property,$B34&lt;=amort_period),PPMT(AG$3/12,$B34,amort_period,loan_amount),0)</f>
        <v>9136041.4858694617</v>
      </c>
      <c r="AH34" s="149">
        <f ca="1">SUM(AF34,Model_Mthly!$AA34,-AG34)</f>
        <v>14892728.162446262</v>
      </c>
      <c r="AI34" s="149">
        <f>SUM(Model_Mthly!$Q34,-IF(AND(leveraged_property,B34&lt;=amort_period),-PMT(AI$3/12,amort_period,loan_amount),0))</f>
        <v>108097.20423402017</v>
      </c>
      <c r="AJ34" s="149">
        <f>AJ33+IF(AND(leveraged_property,$B34&lt;=amort_period),PPMT(AJ$3/12,$B34,amort_period,loan_amount),0)</f>
        <v>9151483.9867964275</v>
      </c>
      <c r="AK34" s="149">
        <f ca="1">SUM(AI34,Model_Mthly!$AA34,-AJ34)</f>
        <v>14875824.364001967</v>
      </c>
      <c r="AL34" s="229">
        <f>SUM(Model_Mthly!$Q34,-IF(AND(leveraged_property,B34&lt;=amort_period),-PMT(AL$3/12,amort_period,loan_amount),0))</f>
        <v>106616.60080953478</v>
      </c>
      <c r="AM34" s="229">
        <f>AM33+IF(AND(leveraged_property,$B34&lt;=amort_period),PPMT(AM$3/12,$B34,amort_period,loan_amount),0)</f>
        <v>9166404.8037316371</v>
      </c>
      <c r="AN34" s="229">
        <f ca="1">SUM(AL34,Model_Mthly!$AA34,-AM34)</f>
        <v>14859422.943642272</v>
      </c>
      <c r="AO34" s="149">
        <f>SUM(Model_Mthly!$Q34,-IF(AND(leveraged_property,B34&lt;=amort_period),-PMT(AO$3/12,amort_period,loan_amount),0))</f>
        <v>105117.13457536258</v>
      </c>
      <c r="AP34" s="162">
        <f>AP33+IF(AND(leveraged_property,$B34&lt;=amort_period),PPMT(AP$3/12,$B34,amort_period,loan_amount),0)</f>
        <v>9180813.0474952199</v>
      </c>
      <c r="AQ34" s="149">
        <f ca="1">SUM(AO34,Model_Mthly!$AA34,-AP34)</f>
        <v>14843515.233644519</v>
      </c>
      <c r="AR34" s="149">
        <f>SUM(Model_Mthly!$Q34,-IF(AND(leveraged_property,B34&lt;=amort_period),-PMT(AR$3/12,amort_period,loan_amount),0))</f>
        <v>103599.2560479879</v>
      </c>
      <c r="AS34" s="162">
        <f>AS33+IF(AND(leveraged_property,$B34&lt;=amort_period),PPMT(AS$3/12,$B34,amort_period,loan_amount),0)</f>
        <v>9194718.2027733233</v>
      </c>
      <c r="AT34" s="149">
        <f ca="1">SUM(AR34,Model_Mthly!$AA34,-AS34)</f>
        <v>14828092.199839039</v>
      </c>
      <c r="AU34" s="149">
        <f>SUM(Model_Mthly!$Q34,-IF(AND(leveraged_property,B34&lt;=amort_period),-PMT(AU$3/12,amort_period,loan_amount),0))</f>
        <v>102063.42189699262</v>
      </c>
      <c r="AV34" s="162">
        <f>AV33+IF(AND(leveraged_property,$B34&lt;=amort_period),PPMT(AV$3/12,$B34,amort_period,loan_amount),0)</f>
        <v>9208130.0922558513</v>
      </c>
      <c r="AW34" s="149">
        <f ca="1">SUM(AU34,Model_Mthly!$AA34,-AV34)</f>
        <v>14813144.476205518</v>
      </c>
      <c r="AX34" s="103"/>
      <c r="AY34" s="288">
        <f ca="1">IF(AND(leveraged_property,down_payment&gt;0),IRR(($AC$4:AC33,AE34),),"N/A")</f>
        <v>1.6813015008749897E-2</v>
      </c>
      <c r="AZ34" s="288">
        <f ca="1">IF(AND(leveraged_property,down_payment&gt;0),IRR(($AF$4:AF33,AH34),),"N/A")</f>
        <v>1.6666866494139031E-2</v>
      </c>
      <c r="BA34" s="288">
        <f ca="1">IF(AND(leveraged_property,down_payment&gt;0),IRR(($AI$4:AI33,AK34),),"N/A")</f>
        <v>1.6520131538949705E-2</v>
      </c>
      <c r="BB34" s="303">
        <f ca="1">IF(AND(leveraged_property,down_payment&gt;0),IRR(($AL$4:AL33,AN34),),"N/A")</f>
        <v>1.6372833028291161E-2</v>
      </c>
      <c r="BC34" s="288">
        <f ca="1">IF(AND(leveraged_property,down_payment&gt;0),IRR(($AO$4:AO33,AQ34),),"N/A")</f>
        <v>1.622499362965377E-2</v>
      </c>
      <c r="BD34" s="288">
        <f ca="1">IF(AND(leveraged_property,down_payment&gt;0),IRR(($AR$4:AR33,AT34),),"N/A")</f>
        <v>1.6076635750174696E-2</v>
      </c>
      <c r="BE34" s="288">
        <f ca="1">IF(AND(leveraged_property,down_payment&gt;0),IRR(($AU$4:AU33,AW34),),"N/A")</f>
        <v>1.5927781496561308E-2</v>
      </c>
      <c r="BF34" s="103"/>
      <c r="BG34" s="290">
        <f ca="1">IF(AND(leveraged_property,down_payment&gt;0),((1+AY34)^12)-1,"N/A")</f>
        <v>0.22149911764954622</v>
      </c>
      <c r="BH34" s="290">
        <f ca="1">IF(AND(leveraged_property,down_payment&gt;0),((1+AZ34)^12)-1,"N/A")</f>
        <v>0.21939396098774355</v>
      </c>
      <c r="BI34" s="290">
        <f ca="1">IF(AND(leveraged_property,down_payment&gt;0),((1+BA34)^12)-1,"N/A")</f>
        <v>0.21728370335104863</v>
      </c>
      <c r="BJ34" s="305">
        <f ca="1">IF(AND(leveraged_property,down_payment&gt;0),((1+BB34)^12)-1,"N/A")</f>
        <v>0.21516870841085334</v>
      </c>
      <c r="BK34" s="290">
        <f ca="1">IF(AND(leveraged_property,down_payment&gt;0),((1+BC34)^12)-1,"N/A")</f>
        <v>0.21304933467139664</v>
      </c>
      <c r="BL34" s="290">
        <f ca="1">IF(AND(leveraged_property,down_payment&gt;0),((1+BD34)^12)-1,"N/A")</f>
        <v>0.21092593487078348</v>
      </c>
      <c r="BM34" s="290">
        <f ca="1">IF(AND(leveraged_property,down_payment&gt;0),((1+BE34)^12)-1,"N/A")</f>
        <v>0.20879885542694199</v>
      </c>
    </row>
    <row r="35" spans="1:65">
      <c r="A35" s="137">
        <f>Model_Mthly!A35</f>
        <v>41105</v>
      </c>
      <c r="B35" s="138">
        <f>Model_Mthly!B35</f>
        <v>31</v>
      </c>
      <c r="C35" s="223"/>
      <c r="D35" s="139">
        <f>Model_Mthly!AQ35</f>
        <v>106444.60457453478</v>
      </c>
      <c r="E35" s="231">
        <f>IF(OR($H$3&lt;=0.0075,$H$3=""),0,SUM(Model_Mthly!AQ35,(SUM(Model_Mthly!Q36:Q47)/$E$3)*(1-cost_of_sale),-Model_Mthly!V35))</f>
        <v>17335540.734265529</v>
      </c>
      <c r="F35" s="231">
        <f>IF(OR($H$3&lt;=0.0075,$H$3=""),0,SUM(Model_Mthly!AQ35,(SUM(Model_Mthly!Q36:Q47)/$F$3)*(1-cost_of_sale),-Model_Mthly!V35))</f>
        <v>16456088.278699582</v>
      </c>
      <c r="G35" s="231">
        <f>IF(OR($H$3&lt;=0.0075,$H$3=""),0,SUM(Model_Mthly!AQ35,(SUM(Model_Mthly!Q36:Q47)/$G$3)*(1-cost_of_sale),-Model_Mthly!V35))</f>
        <v>15633374.691234661</v>
      </c>
      <c r="H35" s="232">
        <f>IF(OR($H$3&lt;=0.0075,$H$3=""),0,SUM(Model_Mthly!AQ35,(SUM(Model_Mthly!Q36:Q47)/$H$3)*(1-cost_of_sale),-Model_Mthly!V35))</f>
        <v>14862080.702986298</v>
      </c>
      <c r="I35" s="231">
        <f>IF(OR($H$3&lt;=0.0075,$H$3=""),0,SUM(Model_Mthly!AQ35,(SUM(Model_Mthly!Q36:Q47)/$I$3)*(1-cost_of_sale),-Model_Mthly!V35))</f>
        <v>14137531.804934809</v>
      </c>
      <c r="J35" s="231">
        <f>IF(OR($H$3&lt;=0.0075,$H$3=""),0,SUM(Model_Mthly!AQ35,(SUM(Model_Mthly!Q36:Q47)/$J$3)*(1-cost_of_sale),-Model_Mthly!V35))</f>
        <v>13455603.43029811</v>
      </c>
      <c r="K35" s="231">
        <f>IF(OR($H$3&lt;=0.0075,$H$3=""),0,SUM(Model_Mthly!AQ35,(SUM(Model_Mthly!Q36:Q47)/$K$3)*(1-cost_of_sale),-Model_Mthly!V35))</f>
        <v>12812642.391354939</v>
      </c>
      <c r="L35" s="160"/>
      <c r="M35" s="302">
        <f>IF(OR($H$3&lt;=0.0075,$H$3="",down_payment&lt;=0),"N/A",IRR(($D$4:D34,E35),))</f>
        <v>2.0674864847565085E-2</v>
      </c>
      <c r="N35" s="288">
        <f>IF(OR($H$3&lt;=0.0075,$H$3="",down_payment&lt;=0),"N/A",IRR(($D$4:D34,F35),))</f>
        <v>1.912427356015832E-2</v>
      </c>
      <c r="O35" s="288">
        <f>IF(OR($H$3&lt;=0.0075,$H$3="",down_payment&lt;=0),"N/A",IRR(($D$4:D34,G35),))</f>
        <v>1.7604216106919059E-2</v>
      </c>
      <c r="P35" s="303">
        <f>IF(OR($H$3&lt;=0.0075,$H$3="",down_payment&lt;=0),"N/A",IRR(($D$4:D34,H35),))</f>
        <v>1.6112050118759762E-2</v>
      </c>
      <c r="Q35" s="288">
        <f>IF(OR($H$3&lt;=0.0075,$H$3="",down_payment&lt;=0),"N/A",IRR(($D$4:D34,I35),))</f>
        <v>1.4645347779868393E-2</v>
      </c>
      <c r="R35" s="288">
        <f>IF(OR($H$3&lt;=0.0075,$H$3="",down_payment&lt;=0),"N/A",IRR(($D$4:D34,J35),))</f>
        <v>1.32018678682804E-2</v>
      </c>
      <c r="S35" s="288">
        <f>IF(OR($H$3&lt;=0.0075,$H$3="",down_payment&lt;=0),"N/A",IRR(($D$4:D34,K35),))</f>
        <v>1.1779531698448826E-2</v>
      </c>
      <c r="T35" s="233"/>
      <c r="U35" s="304">
        <f t="shared" si="4"/>
        <v>0.27834783286015341</v>
      </c>
      <c r="V35" s="304">
        <f t="shared" si="5"/>
        <v>0.25523704888274779</v>
      </c>
      <c r="W35" s="304">
        <f t="shared" si="6"/>
        <v>0.23295371059826531</v>
      </c>
      <c r="X35" s="305">
        <f t="shared" si="7"/>
        <v>0.21143249980034051</v>
      </c>
      <c r="Y35" s="304">
        <f t="shared" si="8"/>
        <v>0.19061464784767601</v>
      </c>
      <c r="Z35" s="304">
        <f t="shared" si="9"/>
        <v>0.17044707607804321</v>
      </c>
      <c r="AA35" s="304">
        <f t="shared" si="10"/>
        <v>0.15088166855588114</v>
      </c>
      <c r="AB35" s="103"/>
      <c r="AC35" s="149">
        <f>SUM(Model_Mthly!$Q35,-IF(AND(leveraged_property,B35&lt;=amort_period),-PMT(AC$3/12,amort_period,loan_amount),0))</f>
        <v>110828.06273470388</v>
      </c>
      <c r="AD35" s="149">
        <f>AD34+IF(AND(leveraged_property,$B35&lt;=amort_period),PPMT(AD$3/12,$B35,amort_period,loan_amount),0)</f>
        <v>9106612.374396801</v>
      </c>
      <c r="AE35" s="149">
        <f ca="1">SUM(AC35,Model_Mthly!$AA35,-AD35)</f>
        <v>14914329.324037109</v>
      </c>
      <c r="AF35" s="149">
        <f>SUM(Model_Mthly!$Q35,-IF(AND(leveraged_property,B35&lt;=amort_period),-PMT(AF$3/12,amort_period,loan_amount),0))</f>
        <v>109386.50551634688</v>
      </c>
      <c r="AG35" s="149">
        <f>AG34+IF(AND(leveraged_property,$B35&lt;=amort_period),PPMT(AG$3/12,$B35,amort_period,loan_amount),0)</f>
        <v>9123110.2712077647</v>
      </c>
      <c r="AH35" s="149">
        <f ca="1">SUM(AF35,Model_Mthly!$AA35,-AG35)</f>
        <v>14896389.870007787</v>
      </c>
      <c r="AI35" s="149">
        <f>SUM(Model_Mthly!$Q35,-IF(AND(leveraged_property,B35&lt;=amort_period),-PMT(AI$3/12,amort_period,loan_amount),0))</f>
        <v>107925.20799902017</v>
      </c>
      <c r="AJ35" s="149">
        <f>AJ34+IF(AND(leveraged_property,$B35&lt;=amort_period),PPMT(AJ$3/12,$B35,amort_period,loan_amount),0)</f>
        <v>9139062.3775351811</v>
      </c>
      <c r="AK35" s="149">
        <f ca="1">SUM(AI35,Model_Mthly!$AA35,-AJ35)</f>
        <v>14878976.466163045</v>
      </c>
      <c r="AL35" s="229">
        <f>SUM(Model_Mthly!$Q35,-IF(AND(leveraged_property,B35&lt;=amort_period),-PMT(AL$3/12,amort_period,loan_amount),0))</f>
        <v>106444.60457453478</v>
      </c>
      <c r="AM35" s="229">
        <f>AM34+IF(AND(leveraged_property,$B35&lt;=amort_period),PPMT(AM$3/12,$B35,amort_period,loan_amount),0)</f>
        <v>9154477.537287442</v>
      </c>
      <c r="AN35" s="229">
        <f ca="1">SUM(AL35,Model_Mthly!$AA35,-AM35)</f>
        <v>14862080.702986298</v>
      </c>
      <c r="AO35" s="149">
        <f>SUM(Model_Mthly!$Q35,-IF(AND(leveraged_property,B35&lt;=amort_period),-PMT(AO$3/12,amort_period,loan_amount),0))</f>
        <v>104945.13834036258</v>
      </c>
      <c r="AP35" s="162">
        <f>AP34+IF(AND(leveraged_property,$B35&lt;=amort_period),PPMT(AP$3/12,$B35,amort_period,loan_amount),0)</f>
        <v>9169365.0219856631</v>
      </c>
      <c r="AQ35" s="149">
        <f ca="1">SUM(AO35,Model_Mthly!$AA35,-AP35)</f>
        <v>14845693.752053903</v>
      </c>
      <c r="AR35" s="149">
        <f>SUM(Model_Mthly!$Q35,-IF(AND(leveraged_property,B35&lt;=amort_period),-PMT(AR$3/12,amort_period,loan_amount),0))</f>
        <v>103427.2598129879</v>
      </c>
      <c r="AS35" s="162">
        <f>AS34+IF(AND(leveraged_property,$B35&lt;=amort_period),PPMT(AS$3/12,$B35,amort_period,loan_amount),0)</f>
        <v>9183734.4938976783</v>
      </c>
      <c r="AT35" s="149">
        <f ca="1">SUM(AR35,Model_Mthly!$AA35,-AS35)</f>
        <v>14829806.401614515</v>
      </c>
      <c r="AU35" s="149">
        <f>SUM(Model_Mthly!$Q35,-IF(AND(leveraged_property,B35&lt;=amort_period),-PMT(AU$3/12,amort_period,loan_amount),0))</f>
        <v>101891.42566199262</v>
      </c>
      <c r="AV35" s="162">
        <f>AV34+IF(AND(leveraged_property,$B35&lt;=amort_period),PPMT(AV$3/12,$B35,amort_period,loan_amount),0)</f>
        <v>9197595.9691125099</v>
      </c>
      <c r="AW35" s="149">
        <f ca="1">SUM(AU35,Model_Mthly!$AA35,-AV35)</f>
        <v>14814409.092248688</v>
      </c>
      <c r="AX35" s="103"/>
      <c r="AY35" s="288">
        <f ca="1">IF(AND(leveraged_property,down_payment&gt;0),IRR(($AC$4:AC34,AE35),),"N/A")</f>
        <v>1.6551636223266834E-2</v>
      </c>
      <c r="AZ35" s="288">
        <f ca="1">IF(AND(leveraged_property,down_payment&gt;0),IRR(($AF$4:AF34,AH35),),"N/A")</f>
        <v>1.6405698969662524E-2</v>
      </c>
      <c r="BA35" s="288">
        <f ca="1">IF(AND(leveraged_property,down_payment&gt;0),IRR(($AI$4:AI34,AK35),),"N/A")</f>
        <v>1.6259162470722812E-2</v>
      </c>
      <c r="BB35" s="303">
        <f ca="1">IF(AND(leveraged_property,down_payment&gt;0),IRR(($AL$4:AL34,AN35),),"N/A")</f>
        <v>1.6112050118759762E-2</v>
      </c>
      <c r="BC35" s="288">
        <f ca="1">IF(AND(leveraged_property,down_payment&gt;0),IRR(($AO$4:AO34,AQ35),),"N/A")</f>
        <v>1.5964385087003808E-2</v>
      </c>
      <c r="BD35" s="288">
        <f ca="1">IF(AND(leveraged_property,down_payment&gt;0),IRR(($AR$4:AR34,AT35),),"N/A")</f>
        <v>1.5816190285619879E-2</v>
      </c>
      <c r="BE35" s="288">
        <f ca="1">IF(AND(leveraged_property,down_payment&gt;0),IRR(($AU$4:AU34,AW35),),"N/A")</f>
        <v>1.5667488320440442E-2</v>
      </c>
      <c r="BF35" s="103"/>
      <c r="BG35" s="290">
        <f ca="1">IF(AND(leveraged_property,down_payment&gt;0),((1+AY35)^12)-1,"N/A")</f>
        <v>0.21773650315822146</v>
      </c>
      <c r="BH35" s="290">
        <f ca="1">IF(AND(leveraged_property,down_payment&gt;0),((1+AZ35)^12)-1,"N/A")</f>
        <v>0.2156403239354534</v>
      </c>
      <c r="BI35" s="290">
        <f ca="1">IF(AND(leveraged_property,down_payment&gt;0),((1+BA35)^12)-1,"N/A")</f>
        <v>0.21353886589967219</v>
      </c>
      <c r="BJ35" s="305">
        <f ca="1">IF(AND(leveraged_property,down_payment&gt;0),((1+BB35)^12)-1,"N/A")</f>
        <v>0.21143249980034051</v>
      </c>
      <c r="BK35" s="290">
        <f ca="1">IF(AND(leveraged_property,down_payment&gt;0),((1+BC35)^12)-1,"N/A")</f>
        <v>0.20932159117377536</v>
      </c>
      <c r="BL35" s="290">
        <f ca="1">IF(AND(leveraged_property,down_payment&gt;0),((1+BD35)^12)-1,"N/A")</f>
        <v>0.20720649972740901</v>
      </c>
      <c r="BM35" s="290">
        <f ca="1">IF(AND(leveraged_property,down_payment&gt;0),((1+BE35)^12)-1,"N/A")</f>
        <v>0.20508757876992778</v>
      </c>
    </row>
    <row r="36" spans="1:65">
      <c r="A36" s="137">
        <f>Model_Mthly!A36</f>
        <v>41136</v>
      </c>
      <c r="B36" s="138">
        <f>Model_Mthly!B36</f>
        <v>32</v>
      </c>
      <c r="C36" s="223"/>
      <c r="D36" s="139">
        <f>Model_Mthly!AQ36</f>
        <v>119285.67580953479</v>
      </c>
      <c r="E36" s="231">
        <f>IF(OR($H$3&lt;=0.0075,$H$3=""),0,SUM(Model_Mthly!AQ36,(SUM(Model_Mthly!Q37:Q48)/$E$3)*(1-cost_of_sale),-Model_Mthly!V36))</f>
        <v>17359966.005068805</v>
      </c>
      <c r="F36" s="231">
        <f>IF(OR($H$3&lt;=0.0075,$H$3=""),0,SUM(Model_Mthly!AQ36,(SUM(Model_Mthly!Q37:Q48)/$F$3)*(1-cost_of_sale),-Model_Mthly!V36))</f>
        <v>16480526.80728665</v>
      </c>
      <c r="G36" s="231">
        <f>IF(OR($H$3&lt;=0.0075,$H$3=""),0,SUM(Model_Mthly!AQ36,(SUM(Model_Mthly!Q37:Q48)/$G$3)*(1-cost_of_sale),-Model_Mthly!V36))</f>
        <v>15657825.622264631</v>
      </c>
      <c r="H36" s="232">
        <f>IF(OR($H$3&lt;=0.0075,$H$3=""),0,SUM(Model_Mthly!AQ36,(SUM(Model_Mthly!Q37:Q48)/$H$3)*(1-cost_of_sale),-Model_Mthly!V36))</f>
        <v>14886543.261306494</v>
      </c>
      <c r="I36" s="231">
        <f>IF(OR($H$3&lt;=0.0075,$H$3=""),0,SUM(Model_Mthly!AQ36,(SUM(Model_Mthly!Q37:Q48)/$I$3)*(1-cost_of_sale),-Model_Mthly!V36))</f>
        <v>14162005.285860967</v>
      </c>
      <c r="J36" s="231">
        <f>IF(OR($H$3&lt;=0.0075,$H$3=""),0,SUM(Model_Mthly!AQ36,(SUM(Model_Mthly!Q37:Q48)/$J$3)*(1-cost_of_sale),-Model_Mthly!V36))</f>
        <v>13480087.191323999</v>
      </c>
      <c r="K36" s="231">
        <f>IF(OR($H$3&lt;=0.0075,$H$3=""),0,SUM(Model_Mthly!AQ36,(SUM(Model_Mthly!Q37:Q48)/$K$3)*(1-cost_of_sale),-Model_Mthly!V36))</f>
        <v>12837135.845046293</v>
      </c>
      <c r="L36" s="160"/>
      <c r="M36" s="302">
        <f>IF(OR($H$3&lt;=0.0075,$H$3="",down_payment&lt;=0),"N/A",IRR(($D$4:D35,E36),))</f>
        <v>2.0303228067627976E-2</v>
      </c>
      <c r="N36" s="288">
        <f>IF(OR($H$3&lt;=0.0075,$H$3="",down_payment&lt;=0),"N/A",IRR(($D$4:D35,F36),))</f>
        <v>1.8809730314901629E-2</v>
      </c>
      <c r="O36" s="288">
        <f>IF(OR($H$3&lt;=0.0075,$H$3="",down_payment&lt;=0),"N/A",IRR(($D$4:D35,G36),))</f>
        <v>1.7345865203163315E-2</v>
      </c>
      <c r="P36" s="303">
        <f>IF(OR($H$3&lt;=0.0075,$H$3="",down_payment&lt;=0),"N/A",IRR(($D$4:D35,H36),))</f>
        <v>1.5909087793648014E-2</v>
      </c>
      <c r="Q36" s="288">
        <f>IF(OR($H$3&lt;=0.0075,$H$3="",down_payment&lt;=0),"N/A",IRR(($D$4:D35,I36),))</f>
        <v>1.4497060738638601E-2</v>
      </c>
      <c r="R36" s="288">
        <f>IF(OR($H$3&lt;=0.0075,$H$3="",down_payment&lt;=0),"N/A",IRR(($D$4:D35,J36),))</f>
        <v>1.3107627328465075E-2</v>
      </c>
      <c r="S36" s="288">
        <f>IF(OR($H$3&lt;=0.0075,$H$3="",down_payment&lt;=0),"N/A",IRR(($D$4:D35,K36),))</f>
        <v>1.1738788308694759E-2</v>
      </c>
      <c r="T36" s="233"/>
      <c r="U36" s="304">
        <f t="shared" si="4"/>
        <v>0.27277351125548055</v>
      </c>
      <c r="V36" s="304">
        <f t="shared" si="5"/>
        <v>0.25059592543533937</v>
      </c>
      <c r="W36" s="304">
        <f t="shared" si="6"/>
        <v>0.22920266132582245</v>
      </c>
      <c r="X36" s="305">
        <f t="shared" si="7"/>
        <v>0.20853197063039675</v>
      </c>
      <c r="Y36" s="304">
        <f t="shared" si="8"/>
        <v>0.18852827299431052</v>
      </c>
      <c r="Z36" s="304">
        <f t="shared" si="9"/>
        <v>0.16914134827774552</v>
      </c>
      <c r="AA36" s="304">
        <f t="shared" si="10"/>
        <v>0.15032565292272415</v>
      </c>
      <c r="AB36" s="103"/>
      <c r="AC36" s="149">
        <f>SUM(Model_Mthly!$Q36,-IF(AND(leveraged_property,B36&lt;=amort_period),-PMT(AC$3/12,amort_period,loan_amount),0))</f>
        <v>123669.13396970389</v>
      </c>
      <c r="AD36" s="149">
        <f>AD35+IF(AND(leveraged_property,$B36&lt;=amort_period),PPMT(AD$3/12,$B36,amort_period,loan_amount),0)</f>
        <v>9093102.8847443257</v>
      </c>
      <c r="AE36" s="149">
        <f ca="1">SUM(AC36,Model_Mthly!$AA36,-AD36)</f>
        <v>14940319.438927716</v>
      </c>
      <c r="AF36" s="149">
        <f>SUM(Model_Mthly!$Q36,-IF(AND(leveraged_property,B36&lt;=amort_period),-PMT(AF$3/12,amort_period,loan_amount),0))</f>
        <v>122227.57675134689</v>
      </c>
      <c r="AG36" s="149">
        <f>AG35+IF(AND(leveraged_property,$B36&lt;=amort_period),PPMT(AG$3/12,$B36,amort_period,loan_amount),0)</f>
        <v>9110125.1764849778</v>
      </c>
      <c r="AH36" s="149">
        <f ca="1">SUM(AF36,Model_Mthly!$AA36,-AG36)</f>
        <v>14921855.589968706</v>
      </c>
      <c r="AI36" s="149">
        <f>SUM(Model_Mthly!$Q36,-IF(AND(leveraged_property,B36&lt;=amort_period),-PMT(AI$3/12,amort_period,loan_amount),0))</f>
        <v>120766.27923402018</v>
      </c>
      <c r="AJ36" s="149">
        <f>AJ35+IF(AND(leveraged_property,$B36&lt;=amort_period),PPMT(AJ$3/12,$B36,amort_period,loan_amount),0)</f>
        <v>9126586.4237334169</v>
      </c>
      <c r="AK36" s="149">
        <f ca="1">SUM(AI36,Model_Mthly!$AA36,-AJ36)</f>
        <v>14903933.045202941</v>
      </c>
      <c r="AL36" s="229">
        <f>SUM(Model_Mthly!$Q36,-IF(AND(leveraged_property,B36&lt;=amort_period),-PMT(AL$3/12,amort_period,loan_amount),0))</f>
        <v>119285.67580953479</v>
      </c>
      <c r="AM36" s="229">
        <f>AM35+IF(AND(leveraged_property,$B36&lt;=amort_period),PPMT(AM$3/12,$B36,amort_period,loan_amount),0)</f>
        <v>9142495.6042053774</v>
      </c>
      <c r="AN36" s="229">
        <f ca="1">SUM(AL36,Model_Mthly!$AA36,-AM36)</f>
        <v>14886543.261306494</v>
      </c>
      <c r="AO36" s="149">
        <f>SUM(Model_Mthly!$Q36,-IF(AND(leveraged_property,B36&lt;=amort_period),-PMT(AO$3/12,amort_period,loan_amount),0))</f>
        <v>117786.20957536259</v>
      </c>
      <c r="AP36" s="162">
        <f>AP35+IF(AND(leveraged_property,$B36&lt;=amort_period),PPMT(AP$3/12,$B36,amort_period,loan_amount),0)</f>
        <v>9157862.1413538735</v>
      </c>
      <c r="AQ36" s="149">
        <f ca="1">SUM(AO36,Model_Mthly!$AA36,-AP36)</f>
        <v>14869677.257923825</v>
      </c>
      <c r="AR36" s="149">
        <f>SUM(Model_Mthly!$Q36,-IF(AND(leveraged_property,B36&lt;=amort_period),-PMT(AR$3/12,amort_period,loan_amount),0))</f>
        <v>116268.33104798791</v>
      </c>
      <c r="AS36" s="162">
        <f>AS35+IF(AND(leveraged_property,$B36&lt;=amort_period),PPMT(AS$3/12,$B36,amort_period,loan_amount),0)</f>
        <v>9172695.8664776552</v>
      </c>
      <c r="AT36" s="149">
        <f ca="1">SUM(AR36,Model_Mthly!$AA36,-AS36)</f>
        <v>14853325.65427267</v>
      </c>
      <c r="AU36" s="149">
        <f>SUM(Model_Mthly!$Q36,-IF(AND(leveraged_property,B36&lt;=amort_period),-PMT(AU$3/12,amort_period,loan_amount),0))</f>
        <v>114732.49689699263</v>
      </c>
      <c r="AV36" s="162">
        <f>AV35+IF(AND(leveraged_property,$B36&lt;=amort_period),PPMT(AV$3/12,$B36,amort_period,loan_amount),0)</f>
        <v>9187006.9807444643</v>
      </c>
      <c r="AW36" s="149">
        <f ca="1">SUM(AU36,Model_Mthly!$AA36,-AV36)</f>
        <v>14837478.705854865</v>
      </c>
      <c r="AX36" s="103"/>
      <c r="AY36" s="288">
        <f ca="1">IF(AND(leveraged_property,down_payment&gt;0),IRR(($AC$4:AC35,AE36),),"N/A")</f>
        <v>1.6347756084539609E-2</v>
      </c>
      <c r="AZ36" s="288">
        <f ca="1">IF(AND(leveraged_property,down_payment&gt;0),IRR(($AF$4:AF35,AH36),),"N/A")</f>
        <v>1.6202137345802642E-2</v>
      </c>
      <c r="BA36" s="288">
        <f ca="1">IF(AND(leveraged_property,down_payment&gt;0),IRR(($AI$4:AI35,AK36),),"N/A")</f>
        <v>1.6055906621840553E-2</v>
      </c>
      <c r="BB36" s="303">
        <f ca="1">IF(AND(leveraged_property,down_payment&gt;0),IRR(($AL$4:AL35,AN36),),"N/A")</f>
        <v>1.5909087793648014E-2</v>
      </c>
      <c r="BC36" s="288">
        <f ca="1">IF(AND(leveraged_property,down_payment&gt;0),IRR(($AO$4:AO35,AQ36),),"N/A")</f>
        <v>1.5761704522849529E-2</v>
      </c>
      <c r="BD36" s="288">
        <f ca="1">IF(AND(leveraged_property,down_payment&gt;0),IRR(($AR$4:AR35,AT36),),"N/A")</f>
        <v>1.5613780206460703E-2</v>
      </c>
      <c r="BE36" s="288">
        <f ca="1">IF(AND(leveraged_property,down_payment&gt;0),IRR(($AU$4:AU35,AW36),),"N/A")</f>
        <v>1.5465337934424818E-2</v>
      </c>
      <c r="BF36" s="103"/>
      <c r="BG36" s="290">
        <f ca="1">IF(AND(leveraged_property,down_payment&gt;0),((1+AY36)^12)-1,"N/A")</f>
        <v>0.21480897527148013</v>
      </c>
      <c r="BH36" s="290">
        <f ca="1">IF(AND(leveraged_property,down_payment&gt;0),((1+AZ36)^12)-1,"N/A")</f>
        <v>0.21272197759280798</v>
      </c>
      <c r="BI36" s="290">
        <f ca="1">IF(AND(leveraged_property,down_payment&gt;0),((1+BA36)^12)-1,"N/A")</f>
        <v>0.21062951680298569</v>
      </c>
      <c r="BJ36" s="305">
        <f ca="1">IF(AND(leveraged_property,down_payment&gt;0),((1+BB36)^12)-1,"N/A")</f>
        <v>0.20853197063039675</v>
      </c>
      <c r="BK36" s="290">
        <f ca="1">IF(AND(leveraged_property,down_payment&gt;0),((1+BC36)^12)-1,"N/A")</f>
        <v>0.20642971156181811</v>
      </c>
      <c r="BL36" s="290">
        <f ca="1">IF(AND(leveraged_property,down_payment&gt;0),((1+BD36)^12)-1,"N/A")</f>
        <v>0.20432310620936689</v>
      </c>
      <c r="BM36" s="290">
        <f ca="1">IF(AND(leveraged_property,down_payment&gt;0),((1+BE36)^12)-1,"N/A")</f>
        <v>0.2022125147243119</v>
      </c>
    </row>
    <row r="37" spans="1:65">
      <c r="A37" s="137">
        <f>Model_Mthly!A37</f>
        <v>41167</v>
      </c>
      <c r="B37" s="138">
        <f>Model_Mthly!B37</f>
        <v>33</v>
      </c>
      <c r="C37" s="223"/>
      <c r="D37" s="139">
        <f>Model_Mthly!AQ37</f>
        <v>119285.67580953479</v>
      </c>
      <c r="E37" s="231">
        <f>IF(OR($H$3&lt;=0.0075,$H$3=""),0,SUM(Model_Mthly!AQ37,(SUM(Model_Mthly!Q38:Q49)/$E$3)*(1-cost_of_sale),-Model_Mthly!V37))</f>
        <v>17371605.121830363</v>
      </c>
      <c r="F37" s="231">
        <f>IF(OR($H$3&lt;=0.0075,$H$3=""),0,SUM(Model_Mthly!AQ37,(SUM(Model_Mthly!Q38:Q49)/$F$3)*(1-cost_of_sale),-Model_Mthly!V37))</f>
        <v>16492179.181832001</v>
      </c>
      <c r="G37" s="231">
        <f>IF(OR($H$3&lt;=0.0075,$H$3=""),0,SUM(Model_Mthly!AQ37,(SUM(Model_Mthly!Q38:Q49)/$G$3)*(1-cost_of_sale),-Model_Mthly!V37))</f>
        <v>15669490.399252888</v>
      </c>
      <c r="H37" s="232">
        <f>IF(OR($H$3&lt;=0.0075,$H$3=""),0,SUM(Model_Mthly!AQ37,(SUM(Model_Mthly!Q38:Q49)/$H$3)*(1-cost_of_sale),-Model_Mthly!V37))</f>
        <v>14898219.665584967</v>
      </c>
      <c r="I37" s="231">
        <f>IF(OR($H$3&lt;=0.0075,$H$3=""),0,SUM(Model_Mthly!AQ37,(SUM(Model_Mthly!Q38:Q49)/$I$3)*(1-cost_of_sale),-Model_Mthly!V37))</f>
        <v>14173692.612745408</v>
      </c>
      <c r="J37" s="231">
        <f>IF(OR($H$3&lt;=0.0075,$H$3=""),0,SUM(Model_Mthly!AQ37,(SUM(Model_Mthly!Q38:Q49)/$J$3)*(1-cost_of_sale),-Model_Mthly!V37))</f>
        <v>13491784.798308179</v>
      </c>
      <c r="K37" s="231">
        <f>IF(OR($H$3&lt;=0.0075,$H$3=""),0,SUM(Model_Mthly!AQ37,(SUM(Model_Mthly!Q38:Q49)/$K$3)*(1-cost_of_sale),-Model_Mthly!V37))</f>
        <v>12848843.144695926</v>
      </c>
      <c r="L37" s="160"/>
      <c r="M37" s="302">
        <f>IF(OR($H$3&lt;=0.0075,$H$3="",down_payment&lt;=0),"N/A",IRR(($D$4:D36,E37),))</f>
        <v>1.9954712085744626E-2</v>
      </c>
      <c r="N37" s="288">
        <f>IF(OR($H$3&lt;=0.0075,$H$3="",down_payment&lt;=0),"N/A",IRR(($D$4:D36,F37),))</f>
        <v>1.8514740206819605E-2</v>
      </c>
      <c r="O37" s="288">
        <f>IF(OR($H$3&lt;=0.0075,$H$3="",down_payment&lt;=0),"N/A",IRR(($D$4:D36,G37),))</f>
        <v>1.7103554243159437E-2</v>
      </c>
      <c r="P37" s="303">
        <f>IF(OR($H$3&lt;=0.0075,$H$3="",down_payment&lt;=0),"N/A",IRR(($D$4:D36,H37),))</f>
        <v>1.5718700176325963E-2</v>
      </c>
      <c r="Q37" s="288">
        <f>IF(OR($H$3&lt;=0.0075,$H$3="",down_payment&lt;=0),"N/A",IRR(($D$4:D36,I37),))</f>
        <v>1.4357925048566009E-2</v>
      </c>
      <c r="R37" s="288">
        <f>IF(OR($H$3&lt;=0.0075,$H$3="",down_payment&lt;=0),"N/A",IRR(($D$4:D36,J37),))</f>
        <v>1.3019150948258073E-2</v>
      </c>
      <c r="S37" s="288">
        <f>IF(OR($H$3&lt;=0.0075,$H$3="",down_payment&lt;=0),"N/A",IRR(($D$4:D36,K37),))</f>
        <v>1.170045264213671E-2</v>
      </c>
      <c r="T37" s="233"/>
      <c r="U37" s="304">
        <f t="shared" ref="U37:U68" si="11">IF(OR($H$3&lt;=0.0075,$H$3="",down_payment&lt;=0),"N/A",((1+M37)^12)-1)</f>
        <v>0.26756624159934628</v>
      </c>
      <c r="V37" s="304">
        <f t="shared" ref="V37:V68" si="12">IF(OR($H$3&lt;=0.0075,$H$3="",down_payment&lt;=0),"N/A",((1+N37)^12)-1)</f>
        <v>0.2462576099502678</v>
      </c>
      <c r="W37" s="304">
        <f t="shared" ref="W37:W68" si="13">IF(OR($H$3&lt;=0.0075,$H$3="",down_payment&lt;=0),"N/A",((1+O37)^12)-1)</f>
        <v>0.22569400904284476</v>
      </c>
      <c r="X37" s="305">
        <f t="shared" ref="X37:X68" si="14">IF(OR($H$3&lt;=0.0075,$H$3="",down_payment&lt;=0),"N/A",((1+P37)^12)-1)</f>
        <v>0.20581693426973913</v>
      </c>
      <c r="Y37" s="304">
        <f t="shared" ref="Y37:Y68" si="15">IF(OR($H$3&lt;=0.0075,$H$3="",down_payment&lt;=0),"N/A",((1+Q37)^12)-1)</f>
        <v>0.1865737042498905</v>
      </c>
      <c r="Z37" s="304">
        <f t="shared" ref="Z37:Z68" si="16">IF(OR($H$3&lt;=0.0075,$H$3="",down_payment&lt;=0),"N/A",((1+R37)^12)-1)</f>
        <v>0.16791669983114543</v>
      </c>
      <c r="AA37" s="304">
        <f t="shared" ref="AA37:AA68" si="17">IF(OR($H$3&lt;=0.0075,$H$3="",down_payment&lt;=0),"N/A",((1+S37)^12)-1)</f>
        <v>0.14980271978367843</v>
      </c>
      <c r="AB37" s="103"/>
      <c r="AC37" s="149">
        <f>SUM(Model_Mthly!$Q37,-IF(AND(leveraged_property,B37&lt;=amort_period),-PMT(AC$3/12,amort_period,loan_amount),0))</f>
        <v>123669.13396970389</v>
      </c>
      <c r="AD37" s="149">
        <f>AD36+IF(AND(leveraged_property,$B37&lt;=amort_period),PPMT(AD$3/12,$B37,amort_period,loan_amount),0)</f>
        <v>9079539.9200286418</v>
      </c>
      <c r="AE37" s="149">
        <f ca="1">SUM(AC37,Model_Mthly!$AA37,-AD37)</f>
        <v>14953521.957646515</v>
      </c>
      <c r="AF37" s="149">
        <f>SUM(Model_Mthly!$Q37,-IF(AND(leveraged_property,B37&lt;=amort_period),-PMT(AF$3/12,amort_period,loan_amount),0))</f>
        <v>122227.57675134689</v>
      </c>
      <c r="AG37" s="149">
        <f>AG36+IF(AND(leveraged_property,$B37&lt;=amort_period),PPMT(AG$3/12,$B37,amort_period,loan_amount),0)</f>
        <v>9097085.9772008453</v>
      </c>
      <c r="AH37" s="149">
        <f ca="1">SUM(AF37,Model_Mthly!$AA37,-AG37)</f>
        <v>14934534.343255954</v>
      </c>
      <c r="AI37" s="149">
        <f>SUM(Model_Mthly!$Q37,-IF(AND(leveraged_property,B37&lt;=amort_period),-PMT(AI$3/12,amort_period,loan_amount),0))</f>
        <v>120766.27923402018</v>
      </c>
      <c r="AJ37" s="149">
        <f>AJ36+IF(AND(leveraged_property,$B37&lt;=amort_period),PPMT(AJ$3/12,$B37,amort_period,loan_amount),0)</f>
        <v>9114055.8876337707</v>
      </c>
      <c r="AK37" s="149">
        <f ca="1">SUM(AI37,Model_Mthly!$AA37,-AJ37)</f>
        <v>14916103.135305703</v>
      </c>
      <c r="AL37" s="229">
        <f>SUM(Model_Mthly!$Q37,-IF(AND(leveraged_property,B37&lt;=amort_period),-PMT(AL$3/12,amort_period,loan_amount),0))</f>
        <v>119285.67580953479</v>
      </c>
      <c r="AM37" s="229">
        <f>AM36+IF(AND(leveraged_property,$B37&lt;=amort_period),PPMT(AM$3/12,$B37,amort_period,loan_amount),0)</f>
        <v>9130458.7539300211</v>
      </c>
      <c r="AN37" s="229">
        <f ca="1">SUM(AL37,Model_Mthly!$AA37,-AM37)</f>
        <v>14898219.665584967</v>
      </c>
      <c r="AO37" s="149">
        <f>SUM(Model_Mthly!$Q37,-IF(AND(leveraged_property,B37&lt;=amort_period),-PMT(AO$3/12,amort_period,loan_amount),0))</f>
        <v>117786.20957536259</v>
      </c>
      <c r="AP37" s="162">
        <f>AP36+IF(AND(leveraged_property,$B37&lt;=amort_period),PPMT(AP$3/12,$B37,amort_period,loan_amount),0)</f>
        <v>9146304.1427523904</v>
      </c>
      <c r="AQ37" s="149">
        <f ca="1">SUM(AO37,Model_Mthly!$AA37,-AP37)</f>
        <v>14880874.810528424</v>
      </c>
      <c r="AR37" s="149">
        <f>SUM(Model_Mthly!$Q37,-IF(AND(leveraged_property,B37&lt;=amort_period),-PMT(AR$3/12,amort_period,loan_amount),0))</f>
        <v>116268.33104798791</v>
      </c>
      <c r="AS37" s="162">
        <f>AS36+IF(AND(leveraged_property,$B37&lt;=amort_period),PPMT(AS$3/12,$B37,amort_period,loan_amount),0)</f>
        <v>9161602.0459205322</v>
      </c>
      <c r="AT37" s="149">
        <f ca="1">SUM(AR37,Model_Mthly!$AA37,-AS37)</f>
        <v>14864059.028832909</v>
      </c>
      <c r="AU37" s="149">
        <f>SUM(Model_Mthly!$Q37,-IF(AND(leveraged_property,B37&lt;=amort_period),-PMT(AU$3/12,amort_period,loan_amount),0))</f>
        <v>114732.49689699263</v>
      </c>
      <c r="AV37" s="162">
        <f>AV36+IF(AND(leveraged_property,$B37&lt;=amort_period),PPMT(AV$3/12,$B37,amort_period,loan_amount),0)</f>
        <v>9176362.8413953353</v>
      </c>
      <c r="AW37" s="149">
        <f ca="1">SUM(AU37,Model_Mthly!$AA37,-AV37)</f>
        <v>14847762.39920711</v>
      </c>
      <c r="AX37" s="103"/>
      <c r="AY37" s="288">
        <f ca="1">IF(AND(leveraged_property,down_payment&gt;0),IRR(($AC$4:AC36,AE37),),"N/A")</f>
        <v>1.6156474213847343E-2</v>
      </c>
      <c r="AZ37" s="288">
        <f ca="1">IF(AND(leveraged_property,down_payment&gt;0),IRR(($AF$4:AF36,AH37),),"N/A")</f>
        <v>1.6011166044632492E-2</v>
      </c>
      <c r="BA37" s="288">
        <f ca="1">IF(AND(leveraged_property,down_payment&gt;0),IRR(($AI$4:AI36,AK37),),"N/A")</f>
        <v>1.5865233245327223E-2</v>
      </c>
      <c r="BB37" s="303">
        <f ca="1">IF(AND(leveraged_property,down_payment&gt;0),IRR(($AL$4:AL36,AN37),),"N/A")</f>
        <v>1.5718700176325963E-2</v>
      </c>
      <c r="BC37" s="288">
        <f ca="1">IF(AND(leveraged_property,down_payment&gt;0),IRR(($AO$4:AO36,AQ37),),"N/A")</f>
        <v>1.5571590978784924E-2</v>
      </c>
      <c r="BD37" s="288">
        <f ca="1">IF(AND(leveraged_property,down_payment&gt;0),IRR(($AR$4:AR36,AT37),),"N/A")</f>
        <v>1.5423929528130771E-2</v>
      </c>
      <c r="BE37" s="288">
        <f ca="1">IF(AND(leveraged_property,down_payment&gt;0),IRR(($AU$4:AU36,AW37),),"N/A")</f>
        <v>1.5275739390398408E-2</v>
      </c>
      <c r="BF37" s="103"/>
      <c r="BG37" s="290">
        <f ca="1">IF(AND(leveraged_property,down_payment&gt;0),((1+AY37)^12)-1,"N/A")</f>
        <v>0.21206821396357545</v>
      </c>
      <c r="BH37" s="290">
        <f ca="1">IF(AND(leveraged_property,down_payment&gt;0),((1+AZ37)^12)-1,"N/A")</f>
        <v>0.20998997151200727</v>
      </c>
      <c r="BI37" s="290">
        <f ca="1">IF(AND(leveraged_property,down_payment&gt;0),((1+BA37)^12)-1,"N/A")</f>
        <v>0.20790608341868322</v>
      </c>
      <c r="BJ37" s="305">
        <f ca="1">IF(AND(leveraged_property,down_payment&gt;0),((1+BB37)^12)-1,"N/A")</f>
        <v>0.20581693426973913</v>
      </c>
      <c r="BK37" s="290">
        <f ca="1">IF(AND(leveraged_property,down_payment&gt;0),((1+BC37)^12)-1,"N/A")</f>
        <v>0.20372290338767995</v>
      </c>
      <c r="BL37" s="290">
        <f ca="1">IF(AND(leveraged_property,down_payment&gt;0),((1+BD37)^12)-1,"N/A")</f>
        <v>0.20162436418099183</v>
      </c>
      <c r="BM37" s="290">
        <f ca="1">IF(AND(leveraged_property,down_payment&gt;0),((1+BE37)^12)-1,"N/A")</f>
        <v>0.19952168354150235</v>
      </c>
    </row>
    <row r="38" spans="1:65">
      <c r="A38" s="137">
        <f>Model_Mthly!A38</f>
        <v>41197</v>
      </c>
      <c r="B38" s="138">
        <f>Model_Mthly!B38</f>
        <v>34</v>
      </c>
      <c r="C38" s="223"/>
      <c r="D38" s="139">
        <f>Model_Mthly!AQ38</f>
        <v>119285.67580953479</v>
      </c>
      <c r="E38" s="231">
        <f>IF(OR($H$3&lt;=0.0075,$H$3=""),0,SUM(Model_Mthly!AQ38,(SUM(Model_Mthly!Q39:Q50)/$E$3)*(1-cost_of_sale),-Model_Mthly!V38))</f>
        <v>17383299.407489024</v>
      </c>
      <c r="F38" s="231">
        <f>IF(OR($H$3&lt;=0.0075,$H$3=""),0,SUM(Model_Mthly!AQ38,(SUM(Model_Mthly!Q39:Q50)/$F$3)*(1-cost_of_sale),-Model_Mthly!V38))</f>
        <v>16503886.725274455</v>
      </c>
      <c r="G38" s="231">
        <f>IF(OR($H$3&lt;=0.0075,$H$3=""),0,SUM(Model_Mthly!AQ38,(SUM(Model_Mthly!Q39:Q50)/$G$3)*(1-cost_of_sale),-Model_Mthly!V38))</f>
        <v>15681210.345138244</v>
      </c>
      <c r="H38" s="232">
        <f>IF(OR($H$3&lt;=0.0075,$H$3=""),0,SUM(Model_Mthly!AQ38,(SUM(Model_Mthly!Q39:Q50)/$H$3)*(1-cost_of_sale),-Model_Mthly!V38))</f>
        <v>14909951.238760546</v>
      </c>
      <c r="I38" s="231">
        <f>IF(OR($H$3&lt;=0.0075,$H$3=""),0,SUM(Model_Mthly!AQ38,(SUM(Model_Mthly!Q39:Q50)/$I$3)*(1-cost_of_sale),-Model_Mthly!V38))</f>
        <v>14185435.108526953</v>
      </c>
      <c r="J38" s="231">
        <f>IF(OR($H$3&lt;=0.0075,$H$3=""),0,SUM(Model_Mthly!AQ38,(SUM(Model_Mthly!Q39:Q50)/$J$3)*(1-cost_of_sale),-Model_Mthly!V38))</f>
        <v>13503537.574189454</v>
      </c>
      <c r="K38" s="231">
        <f>IF(OR($H$3&lt;=0.0075,$H$3=""),0,SUM(Model_Mthly!AQ38,(SUM(Model_Mthly!Q39:Q50)/$K$3)*(1-cost_of_sale),-Model_Mthly!V38))</f>
        <v>12860605.613242667</v>
      </c>
      <c r="L38" s="160"/>
      <c r="M38" s="302">
        <f>IF(OR($H$3&lt;=0.0075,$H$3="",down_payment&lt;=0),"N/A",IRR(($D$4:D37,E38),))</f>
        <v>1.9627232693031162E-2</v>
      </c>
      <c r="N38" s="288">
        <f>IF(OR($H$3&lt;=0.0075,$H$3="",down_payment&lt;=0),"N/A",IRR(($D$4:D37,F38),))</f>
        <v>1.8237540365143152E-2</v>
      </c>
      <c r="O38" s="288">
        <f>IF(OR($H$3&lt;=0.0075,$H$3="",down_payment&lt;=0),"N/A",IRR(($D$4:D37,G38),))</f>
        <v>1.6875836830114066E-2</v>
      </c>
      <c r="P38" s="303">
        <f>IF(OR($H$3&lt;=0.0075,$H$3="",down_payment&lt;=0),"N/A",IRR(($D$4:D37,H38),))</f>
        <v>1.5539753108619136E-2</v>
      </c>
      <c r="Q38" s="288">
        <f>IF(OR($H$3&lt;=0.0075,$H$3="",down_payment&lt;=0),"N/A",IRR(($D$4:D37,I38),))</f>
        <v>1.4227115144655163E-2</v>
      </c>
      <c r="R38" s="288">
        <f>IF(OR($H$3&lt;=0.0075,$H$3="",down_payment&lt;=0),"N/A",IRR(($D$4:D37,J38),))</f>
        <v>1.2935918668129005E-2</v>
      </c>
      <c r="S38" s="288">
        <f>IF(OR($H$3&lt;=0.0075,$H$3="",down_payment&lt;=0),"N/A",IRR(($D$4:D37,K38),))</f>
        <v>1.1664307588437084E-2</v>
      </c>
      <c r="T38" s="233"/>
      <c r="U38" s="304">
        <f t="shared" si="11"/>
        <v>0.26269108891685744</v>
      </c>
      <c r="V38" s="304">
        <f t="shared" si="12"/>
        <v>0.24219350660455463</v>
      </c>
      <c r="W38" s="304">
        <f t="shared" si="13"/>
        <v>0.22240504091322477</v>
      </c>
      <c r="X38" s="305">
        <f t="shared" si="14"/>
        <v>0.20327014515857456</v>
      </c>
      <c r="Y38" s="304">
        <f t="shared" si="15"/>
        <v>0.18473878331132254</v>
      </c>
      <c r="Z38" s="304">
        <f t="shared" si="16"/>
        <v>0.16676571127626016</v>
      </c>
      <c r="AA38" s="304">
        <f t="shared" si="17"/>
        <v>0.14930986818327718</v>
      </c>
      <c r="AB38" s="103"/>
      <c r="AC38" s="149">
        <f>SUM(Model_Mthly!$Q38,-IF(AND(leveraged_property,B38&lt;=amort_period),-PMT(AC$3/12,amort_period,loan_amount),0))</f>
        <v>123669.13396970389</v>
      </c>
      <c r="AD38" s="149">
        <f>AD37+IF(AND(leveraged_property,$B38&lt;=amort_period),PPMT(AD$3/12,$B38,amort_period,loan_amount),0)</f>
        <v>9065923.268577626</v>
      </c>
      <c r="AE38" s="149">
        <f ca="1">SUM(AC38,Model_Mthly!$AA38,-AD38)</f>
        <v>14966778.163100658</v>
      </c>
      <c r="AF38" s="149">
        <f>SUM(Model_Mthly!$Q38,-IF(AND(leveraged_property,B38&lt;=amort_period),-PMT(AF$3/12,amort_period,loan_amount),0))</f>
        <v>122227.57675134689</v>
      </c>
      <c r="AG38" s="149">
        <f>AG37+IF(AND(leveraged_property,$B38&lt;=amort_period),PPMT(AG$3/12,$B38,amort_period,loan_amount),0)</f>
        <v>9083992.4479196966</v>
      </c>
      <c r="AH38" s="149">
        <f ca="1">SUM(AF38,Model_Mthly!$AA38,-AG38)</f>
        <v>14947267.426540229</v>
      </c>
      <c r="AI38" s="149">
        <f>SUM(Model_Mthly!$Q38,-IF(AND(leveraged_property,B38&lt;=amort_period),-PMT(AI$3/12,amort_period,loan_amount),0))</f>
        <v>120766.27923402018</v>
      </c>
      <c r="AJ38" s="149">
        <f>AJ37+IF(AND(leveraged_property,$B38&lt;=amort_period),PPMT(AJ$3/12,$B38,amort_period,loan_amount),0)</f>
        <v>9101470.5304386895</v>
      </c>
      <c r="AK38" s="149">
        <f ca="1">SUM(AI38,Model_Mthly!$AA38,-AJ38)</f>
        <v>14928328.046503911</v>
      </c>
      <c r="AL38" s="229">
        <f>SUM(Model_Mthly!$Q38,-IF(AND(leveraged_property,B38&lt;=amort_period),-PMT(AL$3/12,amort_period,loan_amount),0))</f>
        <v>119285.67580953479</v>
      </c>
      <c r="AM38" s="229">
        <f>AM37+IF(AND(leveraged_property,$B38&lt;=amort_period),PPMT(AM$3/12,$B38,amort_period,loan_amount),0)</f>
        <v>9118366.7347575687</v>
      </c>
      <c r="AN38" s="229">
        <f ca="1">SUM(AL38,Model_Mthly!$AA38,-AM38)</f>
        <v>14909951.238760546</v>
      </c>
      <c r="AO38" s="149">
        <f>SUM(Model_Mthly!$Q38,-IF(AND(leveraged_property,B38&lt;=amort_period),-PMT(AO$3/12,amort_period,loan_amount),0))</f>
        <v>117786.20957536259</v>
      </c>
      <c r="AP38" s="162">
        <f>AP37+IF(AND(leveraged_property,$B38&lt;=amort_period),PPMT(AP$3/12,$B38,amort_period,loan_amount),0)</f>
        <v>9134690.7620742749</v>
      </c>
      <c r="AQ38" s="149">
        <f ca="1">SUM(AO38,Model_Mthly!$AA38,-AP38)</f>
        <v>14892127.745209666</v>
      </c>
      <c r="AR38" s="149">
        <f>SUM(Model_Mthly!$Q38,-IF(AND(leveraged_property,B38&lt;=amort_period),-PMT(AR$3/12,amort_period,loan_amount),0))</f>
        <v>116268.33104798791</v>
      </c>
      <c r="AS38" s="162">
        <f>AS37+IF(AND(leveraged_property,$B38&lt;=amort_period),PPMT(AS$3/12,$B38,amort_period,loan_amount),0)</f>
        <v>9150452.7562606223</v>
      </c>
      <c r="AT38" s="149">
        <f ca="1">SUM(AR38,Model_Mthly!$AA38,-AS38)</f>
        <v>14874847.872495946</v>
      </c>
      <c r="AU38" s="149">
        <f>SUM(Model_Mthly!$Q38,-IF(AND(leveraged_property,B38&lt;=amort_period),-PMT(AU$3/12,amort_period,loan_amount),0))</f>
        <v>114732.49689699263</v>
      </c>
      <c r="AV38" s="162">
        <f>AV37+IF(AND(leveraged_property,$B38&lt;=amort_period),PPMT(AV$3/12,$B38,amort_period,loan_amount),0)</f>
        <v>9165663.2638204284</v>
      </c>
      <c r="AW38" s="149">
        <f ca="1">SUM(AU38,Model_Mthly!$AA38,-AV38)</f>
        <v>14858101.530785143</v>
      </c>
      <c r="AX38" s="103"/>
      <c r="AY38" s="288">
        <f ca="1">IF(AND(leveraged_property,down_payment&gt;0),IRR(($AC$4:AC37,AE38),),"N/A")</f>
        <v>1.5976654679448542E-2</v>
      </c>
      <c r="AZ38" s="288">
        <f ca="1">IF(AND(leveraged_property,down_payment&gt;0),IRR(($AF$4:AF37,AH38),),"N/A")</f>
        <v>1.5831649724590106E-2</v>
      </c>
      <c r="BA38" s="288">
        <f ca="1">IF(AND(leveraged_property,down_payment&gt;0),IRR(($AI$4:AI37,AK38),),"N/A")</f>
        <v>1.5686007590770341E-2</v>
      </c>
      <c r="BB38" s="303">
        <f ca="1">IF(AND(leveraged_property,down_payment&gt;0),IRR(($AL$4:AL37,AN38),),"N/A")</f>
        <v>1.5539753108619136E-2</v>
      </c>
      <c r="BC38" s="288">
        <f ca="1">IF(AND(leveraged_property,down_payment&gt;0),IRR(($AO$4:AO37,AQ38),),"N/A")</f>
        <v>1.5392910890068777E-2</v>
      </c>
      <c r="BD38" s="288">
        <f ca="1">IF(AND(leveraged_property,down_payment&gt;0),IRR(($AR$4:AR37,AT38),),"N/A")</f>
        <v>1.5245505280610857E-2</v>
      </c>
      <c r="BE38" s="288">
        <f ca="1">IF(AND(leveraged_property,down_payment&gt;0),IRR(($AU$4:AU37,AW38),),"N/A")</f>
        <v>1.5097560314438858E-2</v>
      </c>
      <c r="BF38" s="103"/>
      <c r="BG38" s="290">
        <f ca="1">IF(AND(leveraged_property,down_payment&gt;0),((1+AY38)^12)-1,"N/A")</f>
        <v>0.20949685954597541</v>
      </c>
      <c r="BH38" s="290">
        <f ca="1">IF(AND(leveraged_property,down_payment&gt;0),((1+AZ38)^12)-1,"N/A")</f>
        <v>0.20742698407399485</v>
      </c>
      <c r="BI38" s="290">
        <f ca="1">IF(AND(leveraged_property,down_payment&gt;0),((1+BA38)^12)-1,"N/A")</f>
        <v>0.20535128217039911</v>
      </c>
      <c r="BJ38" s="305">
        <f ca="1">IF(AND(leveraged_property,down_payment&gt;0),((1+BB38)^12)-1,"N/A")</f>
        <v>0.20327014515857456</v>
      </c>
      <c r="BK38" s="290">
        <f ca="1">IF(AND(leveraged_property,down_payment&gt;0),((1+BC38)^12)-1,"N/A")</f>
        <v>0.2011839590825133</v>
      </c>
      <c r="BL38" s="290">
        <f ca="1">IF(AND(leveraged_property,down_payment&gt;0),((1+BD38)^12)-1,"N/A")</f>
        <v>0.19909310403907332</v>
      </c>
      <c r="BM38" s="290">
        <f ca="1">IF(AND(leveraged_property,down_payment&gt;0),((1+BE38)^12)-1,"N/A")</f>
        <v>0.19699795355883953</v>
      </c>
    </row>
    <row r="39" spans="1:65">
      <c r="A39" s="137">
        <f>Model_Mthly!A39</f>
        <v>41228</v>
      </c>
      <c r="B39" s="138">
        <f>Model_Mthly!B39</f>
        <v>35</v>
      </c>
      <c r="C39" s="223"/>
      <c r="D39" s="139">
        <f>Model_Mthly!AQ39</f>
        <v>119285.67580953479</v>
      </c>
      <c r="E39" s="231">
        <f>IF(OR($H$3&lt;=0.0075,$H$3=""),0,SUM(Model_Mthly!AQ39,(SUM(Model_Mthly!Q40:Q51)/$E$3)*(1-cost_of_sale),-Model_Mthly!V39))</f>
        <v>17395049.114902228</v>
      </c>
      <c r="F39" s="231">
        <f>IF(OR($H$3&lt;=0.0075,$H$3=""),0,SUM(Model_Mthly!AQ39,(SUM(Model_Mthly!Q40:Q51)/$F$3)*(1-cost_of_sale),-Model_Mthly!V39))</f>
        <v>16515649.69047145</v>
      </c>
      <c r="G39" s="231">
        <f>IF(OR($H$3&lt;=0.0075,$H$3=""),0,SUM(Model_Mthly!AQ39,(SUM(Model_Mthly!Q40:Q51)/$G$3)*(1-cost_of_sale),-Model_Mthly!V39))</f>
        <v>15692985.712778142</v>
      </c>
      <c r="H39" s="232">
        <f>IF(OR($H$3&lt;=0.0075,$H$3=""),0,SUM(Model_Mthly!AQ39,(SUM(Model_Mthly!Q40:Q51)/$H$3)*(1-cost_of_sale),-Model_Mthly!V39))</f>
        <v>14921738.23369067</v>
      </c>
      <c r="I39" s="231">
        <f>IF(OR($H$3&lt;=0.0075,$H$3=""),0,SUM(Model_Mthly!AQ39,(SUM(Model_Mthly!Q40:Q51)/$I$3)*(1-cost_of_sale),-Model_Mthly!V39))</f>
        <v>14197233.026063038</v>
      </c>
      <c r="J39" s="231">
        <f>IF(OR($H$3&lt;=0.0075,$H$3=""),0,SUM(Model_Mthly!AQ39,(SUM(Model_Mthly!Q40:Q51)/$J$3)*(1-cost_of_sale),-Model_Mthly!V39))</f>
        <v>13515345.771825271</v>
      </c>
      <c r="K39" s="231">
        <f>IF(OR($H$3&lt;=0.0075,$H$3=""),0,SUM(Model_Mthly!AQ39,(SUM(Model_Mthly!Q40:Q51)/$K$3)*(1-cost_of_sale),-Model_Mthly!V39))</f>
        <v>12872423.503543949</v>
      </c>
      <c r="L39" s="160"/>
      <c r="M39" s="302">
        <f>IF(OR($H$3&lt;=0.0075,$H$3="",down_payment&lt;=0),"N/A",IRR(($D$4:D38,E39),))</f>
        <v>1.9318948531008153E-2</v>
      </c>
      <c r="N39" s="288">
        <f>IF(OR($H$3&lt;=0.0075,$H$3="",down_payment&lt;=0),"N/A",IRR(($D$4:D38,F39),))</f>
        <v>1.7976573390394511E-2</v>
      </c>
      <c r="O39" s="288">
        <f>IF(OR($H$3&lt;=0.0075,$H$3="",down_payment&lt;=0),"N/A",IRR(($D$4:D38,G39),))</f>
        <v>1.6661435214241255E-2</v>
      </c>
      <c r="P39" s="303">
        <f>IF(OR($H$3&lt;=0.0075,$H$3="",down_payment&lt;=0),"N/A",IRR(($D$4:D38,H39),))</f>
        <v>1.537124473046793E-2</v>
      </c>
      <c r="Q39" s="288">
        <f>IF(OR($H$3&lt;=0.0075,$H$3="",down_payment&lt;=0),"N/A",IRR(($D$4:D38,I39),))</f>
        <v>1.4103901811491503E-2</v>
      </c>
      <c r="R39" s="288">
        <f>IF(OR($H$3&lt;=0.0075,$H$3="",down_payment&lt;=0),"N/A",IRR(($D$4:D38,J39),))</f>
        <v>1.2857471158472016E-2</v>
      </c>
      <c r="S39" s="288">
        <f>IF(OR($H$3&lt;=0.0075,$H$3="",down_payment&lt;=0),"N/A",IRR(($D$4:D38,K39),))</f>
        <v>1.1630161407695287E-2</v>
      </c>
      <c r="T39" s="233"/>
      <c r="U39" s="304">
        <f t="shared" si="11"/>
        <v>0.25811740573842989</v>
      </c>
      <c r="V39" s="304">
        <f t="shared" si="12"/>
        <v>0.23837850387766535</v>
      </c>
      <c r="W39" s="304">
        <f t="shared" si="13"/>
        <v>0.21931579172069382</v>
      </c>
      <c r="X39" s="305">
        <f t="shared" si="14"/>
        <v>0.20087642899353164</v>
      </c>
      <c r="Y39" s="304">
        <f t="shared" si="15"/>
        <v>0.18301280163792999</v>
      </c>
      <c r="Z39" s="304">
        <f t="shared" si="16"/>
        <v>0.16568184148128884</v>
      </c>
      <c r="AA39" s="304">
        <f t="shared" si="17"/>
        <v>0.14884444986960732</v>
      </c>
      <c r="AB39" s="103"/>
      <c r="AC39" s="149">
        <f>SUM(Model_Mthly!$Q39,-IF(AND(leveraged_property,B39&lt;=amort_period),-PMT(AC$3/12,amort_period,loan_amount),0))</f>
        <v>123669.13396970389</v>
      </c>
      <c r="AD39" s="149">
        <f>AD38+IF(AND(leveraged_property,$B39&lt;=amort_period),PPMT(AD$3/12,$B39,amort_period,loan_amount),0)</f>
        <v>9052252.7178812828</v>
      </c>
      <c r="AE39" s="149">
        <f ca="1">SUM(AC39,Model_Mthly!$AA39,-AD39)</f>
        <v>14980088.267800132</v>
      </c>
      <c r="AF39" s="149">
        <f>SUM(Model_Mthly!$Q39,-IF(AND(leveraged_property,B39&lt;=amort_period),-PMT(AF$3/12,amort_period,loan_amount),0))</f>
        <v>122227.57675134689</v>
      </c>
      <c r="AG39" s="149">
        <f>AG38+IF(AND(leveraged_property,$B39&lt;=amort_period),PPMT(AG$3/12,$B39,amort_period,loan_amount),0)</f>
        <v>9070844.3622665424</v>
      </c>
      <c r="AH39" s="149">
        <f ca="1">SUM(AF39,Model_Mthly!$AA39,-AG39)</f>
        <v>14960055.066196514</v>
      </c>
      <c r="AI39" s="149">
        <f>SUM(Model_Mthly!$Q39,-IF(AND(leveraged_property,B39&lt;=amort_period),-PMT(AI$3/12,amort_period,loan_amount),0))</f>
        <v>120766.27923402018</v>
      </c>
      <c r="AJ39" s="149">
        <f>AJ38+IF(AND(leveraged_property,$B39&lt;=amort_period),PPMT(AJ$3/12,$B39,amort_period,loan_amount),0)</f>
        <v>9088830.1123058796</v>
      </c>
      <c r="AK39" s="149">
        <f ca="1">SUM(AI39,Model_Mthly!$AA39,-AJ39)</f>
        <v>14940608.018639851</v>
      </c>
      <c r="AL39" s="229">
        <f>SUM(Model_Mthly!$Q39,-IF(AND(leveraged_property,B39&lt;=amort_period),-PMT(AL$3/12,amort_period,loan_amount),0))</f>
        <v>119285.67580953479</v>
      </c>
      <c r="AM39" s="229">
        <f>AM38+IF(AND(leveraged_property,$B39&lt;=amort_period),PPMT(AM$3/12,$B39,amort_period,loan_amount),0)</f>
        <v>9106219.2938305754</v>
      </c>
      <c r="AN39" s="229">
        <f ca="1">SUM(AL39,Model_Mthly!$AA39,-AM39)</f>
        <v>14921738.23369067</v>
      </c>
      <c r="AO39" s="149">
        <f>SUM(Model_Mthly!$Q39,-IF(AND(leveraged_property,B39&lt;=amort_period),-PMT(AO$3/12,amort_period,loan_amount),0))</f>
        <v>117786.20957536259</v>
      </c>
      <c r="AP39" s="162">
        <f>AP38+IF(AND(leveraged_property,$B39&lt;=amort_period),PPMT(AP$3/12,$B39,amort_period,loan_amount),0)</f>
        <v>9123021.7339470759</v>
      </c>
      <c r="AQ39" s="149">
        <f ca="1">SUM(AO39,Model_Mthly!$AA39,-AP39)</f>
        <v>14903436.327339996</v>
      </c>
      <c r="AR39" s="149">
        <f>SUM(Model_Mthly!$Q39,-IF(AND(leveraged_property,B39&lt;=amort_period),-PMT(AR$3/12,amort_period,loan_amount),0))</f>
        <v>116268.33104798791</v>
      </c>
      <c r="AS39" s="162">
        <f>AS38+IF(AND(leveraged_property,$B39&lt;=amort_period),PPMT(AS$3/12,$B39,amort_period,loan_amount),0)</f>
        <v>9139247.7201524135</v>
      </c>
      <c r="AT39" s="149">
        <f ca="1">SUM(AR39,Model_Mthly!$AA39,-AS39)</f>
        <v>14885692.462607285</v>
      </c>
      <c r="AU39" s="149">
        <f>SUM(Model_Mthly!$Q39,-IF(AND(leveraged_property,B39&lt;=amort_period),-PMT(AU$3/12,amort_period,loan_amount),0))</f>
        <v>114732.49689699263</v>
      </c>
      <c r="AV39" s="162">
        <f>AV38+IF(AND(leveraged_property,$B39&lt;=amort_period),PPMT(AV$3/12,$B39,amort_period,loan_amount),0)</f>
        <v>9154907.9592789859</v>
      </c>
      <c r="AW39" s="149">
        <f ca="1">SUM(AU39,Model_Mthly!$AA39,-AV39)</f>
        <v>14868496.389329717</v>
      </c>
      <c r="AX39" s="103"/>
      <c r="AY39" s="288">
        <f ca="1">IF(AND(leveraged_property,down_payment&gt;0),IRR(($AC$4:AC38,AE39),),"N/A")</f>
        <v>1.5807294036337193E-2</v>
      </c>
      <c r="AZ39" s="288">
        <f ca="1">IF(AND(leveraged_property,down_payment&gt;0),IRR(($AF$4:AF38,AH39),),"N/A")</f>
        <v>1.5662585468119224E-2</v>
      </c>
      <c r="BA39" s="288">
        <f ca="1">IF(AND(leveraged_property,down_payment&gt;0),IRR(($AI$4:AI38,AK39),),"N/A")</f>
        <v>1.5517227268890689E-2</v>
      </c>
      <c r="BB39" s="303">
        <f ca="1">IF(AND(leveraged_property,down_payment&gt;0),IRR(($AL$4:AL38,AN39),),"N/A")</f>
        <v>1.537124473046793E-2</v>
      </c>
      <c r="BC39" s="288">
        <f ca="1">IF(AND(leveraged_property,down_payment&gt;0),IRR(($AO$4:AO38,AQ39),),"N/A")</f>
        <v>1.5224662926905896E-2</v>
      </c>
      <c r="BD39" s="288">
        <f ca="1">IF(AND(leveraged_property,down_payment&gt;0),IRR(($AR$4:AR38,AT39),),"N/A")</f>
        <v>1.5077506665509052E-2</v>
      </c>
      <c r="BE39" s="288">
        <f ca="1">IF(AND(leveraged_property,down_payment&gt;0),IRR(($AU$4:AU38,AW39),),"N/A")</f>
        <v>1.4929800440777087E-2</v>
      </c>
      <c r="BF39" s="103"/>
      <c r="BG39" s="290">
        <f ca="1">IF(AND(leveraged_property,down_payment&gt;0),((1+AY39)^12)-1,"N/A")</f>
        <v>0.20707963709881927</v>
      </c>
      <c r="BH39" s="290">
        <f ca="1">IF(AND(leveraged_property,down_payment&gt;0),((1+AZ39)^12)-1,"N/A")</f>
        <v>0.20501777392173226</v>
      </c>
      <c r="BI39" s="290">
        <f ca="1">IF(AND(leveraged_property,down_payment&gt;0),((1+BA39)^12)-1,"N/A")</f>
        <v>0.20294990523967771</v>
      </c>
      <c r="BJ39" s="305">
        <f ca="1">IF(AND(leveraged_property,down_payment&gt;0),((1+BB39)^12)-1,"N/A")</f>
        <v>0.20087642899353164</v>
      </c>
      <c r="BK39" s="290">
        <f ca="1">IF(AND(leveraged_property,down_payment&gt;0),((1+BC39)^12)-1,"N/A")</f>
        <v>0.19879773783510579</v>
      </c>
      <c r="BL39" s="290">
        <f ca="1">IF(AND(leveraged_property,down_payment&gt;0),((1+BD39)^12)-1,"N/A")</f>
        <v>0.19671421844203962</v>
      </c>
      <c r="BM39" s="290">
        <f ca="1">IF(AND(leveraged_property,down_payment&gt;0),((1+BE39)^12)-1,"N/A")</f>
        <v>0.1946262508821246</v>
      </c>
    </row>
    <row r="40" spans="1:65">
      <c r="A40" s="137">
        <f>Model_Mthly!A40</f>
        <v>41258</v>
      </c>
      <c r="B40" s="138">
        <f>Model_Mthly!B40</f>
        <v>36</v>
      </c>
      <c r="C40" s="223"/>
      <c r="D40" s="183">
        <f>Model_Mthly!AQ40</f>
        <v>119285.67580953479</v>
      </c>
      <c r="E40" s="202">
        <f>IF(OR($H$3&lt;=0.0075,$H$3=""),0,SUM(Model_Mthly!AQ40,(SUM(Model_Mthly!Q41:Q52)/$E$3)*(1-cost_of_sale),-Model_Mthly!V40))</f>
        <v>17406854.498086341</v>
      </c>
      <c r="F40" s="202">
        <f>IF(OR($H$3&lt;=0.0075,$H$3=""),0,SUM(Model_Mthly!AQ40,(SUM(Model_Mthly!Q41:Q52)/$F$3)*(1-cost_of_sale),-Model_Mthly!V40))</f>
        <v>16527468.331439361</v>
      </c>
      <c r="G40" s="202">
        <f>IF(OR($H$3&lt;=0.0075,$H$3=""),0,SUM(Model_Mthly!AQ40,(SUM(Model_Mthly!Q41:Q52)/$G$3)*(1-cost_of_sale),-Model_Mthly!V40))</f>
        <v>15704816.756188955</v>
      </c>
      <c r="H40" s="202">
        <f>IF(OR($H$3&lt;=0.0075,$H$3=""),0,SUM(Model_Mthly!AQ40,(SUM(Model_Mthly!Q41:Q52)/$H$3)*(1-cost_of_sale),-Model_Mthly!V40))</f>
        <v>14933580.904391702</v>
      </c>
      <c r="I40" s="202">
        <f>IF(OR($H$3&lt;=0.0075,$H$3=""),0,SUM(Model_Mthly!AQ40,(SUM(Model_Mthly!Q41:Q52)/$I$3)*(1-cost_of_sale),-Model_Mthly!V40))</f>
        <v>14209086.61937004</v>
      </c>
      <c r="J40" s="202">
        <f>IF(OR($H$3&lt;=0.0075,$H$3=""),0,SUM(Model_Mthly!AQ40,(SUM(Model_Mthly!Q41:Q52)/$J$3)*(1-cost_of_sale),-Model_Mthly!V40))</f>
        <v>13527209.645232003</v>
      </c>
      <c r="K40" s="202">
        <f>IF(OR($H$3&lt;=0.0075,$H$3=""),0,SUM(Model_Mthly!AQ40,(SUM(Model_Mthly!Q41:Q52)/$K$3)*(1-cost_of_sale),-Model_Mthly!V40))</f>
        <v>12884297.069616143</v>
      </c>
      <c r="L40" s="160"/>
      <c r="M40" s="289">
        <f>IF(OR($H$3&lt;=0.0075,$H$3="",down_payment&lt;=0),"N/A",IRR(($D$4:D39,E40),))</f>
        <v>1.9028226764736735E-2</v>
      </c>
      <c r="N40" s="289">
        <f>IF(OR($H$3&lt;=0.0075,$H$3="",down_payment&lt;=0),"N/A",IRR(($D$4:D39,F40),))</f>
        <v>1.773045829887741E-2</v>
      </c>
      <c r="O40" s="289">
        <f>IF(OR($H$3&lt;=0.0075,$H$3="",down_payment&lt;=0),"N/A",IRR(($D$4:D39,G40),))</f>
        <v>1.6459216432621836E-2</v>
      </c>
      <c r="P40" s="289">
        <f>IF(OR($H$3&lt;=0.0075,$H$3="",down_payment&lt;=0),"N/A",IRR(($D$4:D39,H40),))</f>
        <v>1.5212286751505318E-2</v>
      </c>
      <c r="Q40" s="289">
        <f>IF(OR($H$3&lt;=0.0075,$H$3="",down_payment&lt;=0),"N/A",IRR(($D$4:D39,I40),))</f>
        <v>1.3987638534644268E-2</v>
      </c>
      <c r="R40" s="289">
        <f>IF(OR($H$3&lt;=0.0075,$H$3="",down_payment&lt;=0),"N/A",IRR(($D$4:D39,J40),))</f>
        <v>1.2783401210244339E-2</v>
      </c>
      <c r="S40" s="289">
        <f>IF(OR($H$3&lt;=0.0075,$H$3="",down_payment&lt;=0),"N/A",IRR(($D$4:D39,K40),))</f>
        <v>1.1597844130732714E-2</v>
      </c>
      <c r="T40" s="233"/>
      <c r="U40" s="291">
        <f t="shared" si="11"/>
        <v>0.25381819515020321</v>
      </c>
      <c r="V40" s="291">
        <f t="shared" si="12"/>
        <v>0.23479046037779772</v>
      </c>
      <c r="W40" s="291">
        <f t="shared" si="13"/>
        <v>0.2164086411125512</v>
      </c>
      <c r="X40" s="291">
        <f t="shared" si="14"/>
        <v>0.19862238114538067</v>
      </c>
      <c r="Y40" s="291">
        <f t="shared" si="15"/>
        <v>0.18138629077649004</v>
      </c>
      <c r="Z40" s="291">
        <f t="shared" si="16"/>
        <v>0.16465930146939711</v>
      </c>
      <c r="AA40" s="291">
        <f t="shared" si="17"/>
        <v>0.14840411896981021</v>
      </c>
      <c r="AB40" s="103"/>
      <c r="AC40" s="186">
        <f>SUM(Model_Mthly!$Q40,-IF(AND(leveraged_property,B40&lt;=amort_period),-PMT(AC$3/12,amort_period,loan_amount),0))</f>
        <v>123669.13396970389</v>
      </c>
      <c r="AD40" s="186">
        <f>AD39+IF(AND(leveraged_property,$B40&lt;=amort_period),PPMT(AD$3/12,$B40,amort_period,loan_amount),0)</f>
        <v>9038528.0545884334</v>
      </c>
      <c r="AE40" s="186">
        <f ca="1">SUM(AC40,Model_Mthly!$AA40,-AD40)</f>
        <v>14993452.485096104</v>
      </c>
      <c r="AF40" s="186">
        <f>SUM(Model_Mthly!$Q40,-IF(AND(leveraged_property,B40&lt;=amort_period),-PMT(AF$3/12,amort_period,loan_amount),0))</f>
        <v>122227.57675134689</v>
      </c>
      <c r="AG40" s="186">
        <f>AG39+IF(AND(leveraged_property,$B40&lt;=amort_period),PPMT(AG$3/12,$B40,amort_period,loan_amount),0)</f>
        <v>9057641.4929231666</v>
      </c>
      <c r="AH40" s="186">
        <f ca="1">SUM(AF40,Model_Mthly!$AA40,-AG40)</f>
        <v>14972897.489543013</v>
      </c>
      <c r="AI40" s="186">
        <f>SUM(Model_Mthly!$Q40,-IF(AND(leveraged_property,B40&lt;=amort_period),-PMT(AI$3/12,amort_period,loan_amount),0))</f>
        <v>120766.27923402018</v>
      </c>
      <c r="AJ40" s="186">
        <f>AJ39+IF(AND(leveraged_property,$B40&lt;=amort_period),PPMT(AJ$3/12,$B40,amort_period,loan_amount),0)</f>
        <v>9076134.3923437372</v>
      </c>
      <c r="AK40" s="186">
        <f ca="1">SUM(AI40,Model_Mthly!$AA40,-AJ40)</f>
        <v>14952943.292605117</v>
      </c>
      <c r="AL40" s="186">
        <f>SUM(Model_Mthly!$Q40,-IF(AND(leveraged_property,B40&lt;=amort_period),-PMT(AL$3/12,amort_period,loan_amount),0))</f>
        <v>119285.67580953479</v>
      </c>
      <c r="AM40" s="186">
        <f>AM39+IF(AND(leveraged_property,$B40&lt;=amort_period),PPMT(AM$3/12,$B40,amort_period,loan_amount),0)</f>
        <v>9094016.1771326661</v>
      </c>
      <c r="AN40" s="186">
        <f ca="1">SUM(AL40,Model_Mthly!$AA40,-AM40)</f>
        <v>14933580.904391702</v>
      </c>
      <c r="AO40" s="186">
        <f>SUM(Model_Mthly!$Q40,-IF(AND(leveraged_property,B40&lt;=amort_period),-PMT(AO$3/12,amort_period,loan_amount),0))</f>
        <v>117786.20957536259</v>
      </c>
      <c r="AP40" s="186">
        <f>AP39+IF(AND(leveraged_property,$B40&lt;=amort_period),PPMT(AP$3/12,$B40,amort_period,loan_amount),0)</f>
        <v>9111296.791726768</v>
      </c>
      <c r="AQ40" s="186">
        <f ca="1">SUM(AO40,Model_Mthly!$AA40,-AP40)</f>
        <v>14914800.823563427</v>
      </c>
      <c r="AR40" s="186">
        <f>SUM(Model_Mthly!$Q40,-IF(AND(leveraged_property,B40&lt;=amort_period),-PMT(AR$3/12,amort_period,loan_amount),0))</f>
        <v>116268.33104798791</v>
      </c>
      <c r="AS40" s="186">
        <f>AS39+IF(AND(leveraged_property,$B40&lt;=amort_period),PPMT(AS$3/12,$B40,amort_period,loan_amount),0)</f>
        <v>9127986.6588636637</v>
      </c>
      <c r="AT40" s="186">
        <f ca="1">SUM(AR40,Model_Mthly!$AA40,-AS40)</f>
        <v>14896593.077899158</v>
      </c>
      <c r="AU40" s="186">
        <f>SUM(Model_Mthly!$Q40,-IF(AND(leveraged_property,B40&lt;=amort_period),-PMT(AU$3/12,amort_period,loan_amount),0))</f>
        <v>114732.49689699263</v>
      </c>
      <c r="AV40" s="186">
        <f>AV39+IF(AND(leveraged_property,$B40&lt;=amort_period),PPMT(AV$3/12,$B40,amort_period,loan_amount),0)</f>
        <v>9144096.6375263892</v>
      </c>
      <c r="AW40" s="186">
        <f ca="1">SUM(AU40,Model_Mthly!$AA40,-AV40)</f>
        <v>14878947.265085436</v>
      </c>
      <c r="AX40" s="103"/>
      <c r="AY40" s="289">
        <f ca="1">IF(AND(leveraged_property,down_payment&gt;0),IRR(($AC$4:AC39,AE40),),"N/A")</f>
        <v>1.5647502573522331E-2</v>
      </c>
      <c r="AZ40" s="289">
        <f ca="1">IF(AND(leveraged_property,down_payment&gt;0),IRR(($AF$4:AF39,AH40),),"N/A")</f>
        <v>1.550308403703282E-2</v>
      </c>
      <c r="BA40" s="289">
        <f ca="1">IF(AND(leveraged_property,down_payment&gt;0),IRR(($AI$4:AI39,AK40),),"N/A")</f>
        <v>1.5358003515005089E-2</v>
      </c>
      <c r="BB40" s="289">
        <f ca="1">IF(AND(leveraged_property,down_payment&gt;0),IRR(($AL$4:AL39,AN40),),"N/A")</f>
        <v>1.5212286751505318E-2</v>
      </c>
      <c r="BC40" s="289">
        <f ca="1">IF(AND(leveraged_property,down_payment&gt;0),IRR(($AO$4:AO39,AQ40),),"N/A")</f>
        <v>1.5065959274160729E-2</v>
      </c>
      <c r="BD40" s="289">
        <f ca="1">IF(AND(leveraged_property,down_payment&gt;0),IRR(($AR$4:AR39,AT40),),"N/A")</f>
        <v>1.4919046343926412E-2</v>
      </c>
      <c r="BE40" s="289">
        <f ca="1">IF(AND(leveraged_property,down_payment&gt;0),IRR(($AU$4:AU39,AW40),),"N/A")</f>
        <v>1.4771572907837007E-2</v>
      </c>
      <c r="BF40" s="103"/>
      <c r="BG40" s="291">
        <f ca="1">IF(AND(leveraged_property,down_payment&gt;0),((1+AY40)^12)-1,"N/A")</f>
        <v>0.20480305294743673</v>
      </c>
      <c r="BH40" s="291">
        <f ca="1">IF(AND(leveraged_property,down_payment&gt;0),((1+AZ40)^12)-1,"N/A")</f>
        <v>0.2027488770841801</v>
      </c>
      <c r="BI40" s="291">
        <f ca="1">IF(AND(leveraged_property,down_payment&gt;0),((1+BA40)^12)-1,"N/A")</f>
        <v>0.20068851833703194</v>
      </c>
      <c r="BJ40" s="291">
        <f ca="1">IF(AND(leveraged_property,down_payment&gt;0),((1+BB40)^12)-1,"N/A")</f>
        <v>0.19862238114538067</v>
      </c>
      <c r="BK40" s="291">
        <f ca="1">IF(AND(leveraged_property,down_payment&gt;0),((1+BC40)^12)-1,"N/A")</f>
        <v>0.19655086465584937</v>
      </c>
      <c r="BL40" s="291">
        <f ca="1">IF(AND(leveraged_property,down_payment&gt;0),((1+BD40)^12)-1,"N/A")</f>
        <v>0.1944743620197571</v>
      </c>
      <c r="BM40" s="291">
        <f ca="1">IF(AND(leveraged_property,down_payment&gt;0),((1+BE40)^12)-1,"N/A")</f>
        <v>0.19239325974088817</v>
      </c>
    </row>
    <row r="41" spans="1:65">
      <c r="A41" s="137">
        <f>Model_Mthly!A41</f>
        <v>41289</v>
      </c>
      <c r="B41" s="138">
        <f>Model_Mthly!B41</f>
        <v>37</v>
      </c>
      <c r="C41" s="223"/>
      <c r="D41" s="139">
        <f>Model_Mthly!AQ41</f>
        <v>119271.22971578478</v>
      </c>
      <c r="E41" s="231">
        <f>IF(OR($H$3&lt;=0.0075,$H$3=""),0,SUM(Model_Mthly!AQ41,(SUM(Model_Mthly!Q42:Q53)/$E$3)*(1-cost_of_sale),-Model_Mthly!V41))</f>
        <v>17811014.076938577</v>
      </c>
      <c r="F41" s="231">
        <f>IF(OR($H$3&lt;=0.0075,$H$3=""),0,SUM(Model_Mthly!AQ41,(SUM(Model_Mthly!Q42:Q53)/$F$3)*(1-cost_of_sale),-Model_Mthly!V41))</f>
        <v>16918564.077715047</v>
      </c>
      <c r="G41" s="231">
        <f>IF(OR($H$3&lt;=0.0075,$H$3=""),0,SUM(Model_Mthly!AQ41,(SUM(Model_Mthly!Q42:Q53)/$G$3)*(1-cost_of_sale),-Model_Mthly!V41))</f>
        <v>16083691.497796258</v>
      </c>
      <c r="H41" s="232">
        <f>IF(OR($H$3&lt;=0.0075,$H$3=""),0,SUM(Model_Mthly!AQ41,(SUM(Model_Mthly!Q42:Q53)/$H$3)*(1-cost_of_sale),-Model_Mthly!V41))</f>
        <v>15300998.454122389</v>
      </c>
      <c r="I41" s="231">
        <f>IF(OR($H$3&lt;=0.0075,$H$3=""),0,SUM(Model_Mthly!AQ41,(SUM(Model_Mthly!Q42:Q53)/$I$3)*(1-cost_of_sale),-Model_Mthly!V41))</f>
        <v>14565741.352489362</v>
      </c>
      <c r="J41" s="231">
        <f>IF(OR($H$3&lt;=0.0075,$H$3=""),0,SUM(Model_Mthly!AQ41,(SUM(Model_Mthly!Q42:Q53)/$J$3)*(1-cost_of_sale),-Model_Mthly!V41))</f>
        <v>13873734.668599458</v>
      </c>
      <c r="K41" s="231">
        <f>IF(OR($H$3&lt;=0.0075,$H$3=""),0,SUM(Model_Mthly!AQ41,(SUM(Model_Mthly!Q42:Q53)/$K$3)*(1-cost_of_sale),-Model_Mthly!V41))</f>
        <v>13221271.223788975</v>
      </c>
      <c r="L41" s="160"/>
      <c r="M41" s="302">
        <f>IF(OR($H$3&lt;=0.0075,$H$3="",down_payment&lt;=0),"N/A",IRR(($D$4:D40,E41),))</f>
        <v>1.9295561324602039E-2</v>
      </c>
      <c r="N41" s="288">
        <f>IF(OR($H$3&lt;=0.0075,$H$3="",down_payment&lt;=0),"N/A",IRR(($D$4:D40,F41),))</f>
        <v>1.804659839981693E-2</v>
      </c>
      <c r="O41" s="288">
        <f>IF(OR($H$3&lt;=0.0075,$H$3="",down_payment&lt;=0),"N/A",IRR(($D$4:D40,G41),))</f>
        <v>1.6823713513275072E-2</v>
      </c>
      <c r="P41" s="303">
        <f>IF(OR($H$3&lt;=0.0075,$H$3="",down_payment&lt;=0),"N/A",IRR(($D$4:D40,H41),))</f>
        <v>1.5624771299319089E-2</v>
      </c>
      <c r="Q41" s="288">
        <f>IF(OR($H$3&lt;=0.0075,$H$3="",down_payment&lt;=0),"N/A",IRR(($D$4:D40,I41),))</f>
        <v>1.4447815624799274E-2</v>
      </c>
      <c r="R41" s="288">
        <f>IF(OR($H$3&lt;=0.0075,$H$3="",down_payment&lt;=0),"N/A",IRR(($D$4:D40,J41),))</f>
        <v>1.3291046807417373E-2</v>
      </c>
      <c r="S41" s="288">
        <f>IF(OR($H$3&lt;=0.0075,$H$3="",down_payment&lt;=0),"N/A",IRR(($D$4:D40,K41),))</f>
        <v>1.2152802063254191E-2</v>
      </c>
      <c r="T41" s="233"/>
      <c r="U41" s="304">
        <f t="shared" si="11"/>
        <v>0.25777105520235244</v>
      </c>
      <c r="V41" s="304">
        <f t="shared" si="12"/>
        <v>0.23940112405850189</v>
      </c>
      <c r="W41" s="304">
        <f t="shared" si="13"/>
        <v>0.22165335214395343</v>
      </c>
      <c r="X41" s="305">
        <f t="shared" si="14"/>
        <v>0.20447951544984333</v>
      </c>
      <c r="Y41" s="304">
        <f t="shared" si="15"/>
        <v>0.1878361437937266</v>
      </c>
      <c r="Z41" s="304">
        <f t="shared" si="16"/>
        <v>0.17168390489936503</v>
      </c>
      <c r="AA41" s="304">
        <f t="shared" si="17"/>
        <v>0.15598708238674264</v>
      </c>
      <c r="AB41" s="103"/>
      <c r="AC41" s="149">
        <f>SUM(Model_Mthly!$Q41,-IF(AND(leveraged_property,B41&lt;=amort_period),-PMT(AC$3/12,amort_period,loan_amount),0))</f>
        <v>123654.68787595388</v>
      </c>
      <c r="AD41" s="149">
        <f>AD40+IF(AND(leveraged_property,$B41&lt;=amort_period),PPMT(AD$3/12,$B41,amort_period,loan_amount),0)</f>
        <v>9024749.0645033829</v>
      </c>
      <c r="AE41" s="149">
        <f ca="1">SUM(AC41,Model_Mthly!$AA41,-AD41)</f>
        <v>15362389.9772624</v>
      </c>
      <c r="AF41" s="149">
        <f>SUM(Model_Mthly!$Q41,-IF(AND(leveraged_property,B41&lt;=amort_period),-PMT(AF$3/12,amort_period,loan_amount),0))</f>
        <v>122213.13065759688</v>
      </c>
      <c r="AG41" s="149">
        <f>AG40+IF(AND(leveraged_property,$B41&lt;=amort_period),PPMT(AG$3/12,$B41,amort_period,loan_amount),0)</f>
        <v>9044383.6116241924</v>
      </c>
      <c r="AH41" s="149">
        <f ca="1">SUM(AF41,Model_Mthly!$AA41,-AG41)</f>
        <v>15341313.872923236</v>
      </c>
      <c r="AI41" s="149">
        <f>SUM(Model_Mthly!$Q41,-IF(AND(leveraged_property,B41&lt;=amort_period),-PMT(AI$3/12,amort_period,loan_amount),0))</f>
        <v>120751.83314027017</v>
      </c>
      <c r="AJ41" s="149">
        <f>AJ40+IF(AND(leveraged_property,$B41&lt;=amort_period),PPMT(AJ$3/12,$B41,amort_period,loan_amount),0)</f>
        <v>9063383.1286067609</v>
      </c>
      <c r="AK41" s="149">
        <f ca="1">SUM(AI41,Model_Mthly!$AA41,-AJ41)</f>
        <v>15320853.058423338</v>
      </c>
      <c r="AL41" s="229">
        <f>SUM(Model_Mthly!$Q41,-IF(AND(leveraged_property,B41&lt;=amort_period),-PMT(AL$3/12,amort_period,loan_amount),0))</f>
        <v>119271.22971578478</v>
      </c>
      <c r="AM41" s="229">
        <f>AM40+IF(AND(leveraged_property,$B41&lt;=amort_period),PPMT(AM$3/12,$B41,amort_period,loan_amount),0)</f>
        <v>9081757.1294832248</v>
      </c>
      <c r="AN41" s="229">
        <f ca="1">SUM(AL41,Model_Mthly!$AA41,-AM41)</f>
        <v>15300998.454122389</v>
      </c>
      <c r="AO41" s="149">
        <f>SUM(Model_Mthly!$Q41,-IF(AND(leveraged_property,B41&lt;=amort_period),-PMT(AO$3/12,amort_period,loan_amount),0))</f>
        <v>117771.76348161258</v>
      </c>
      <c r="AP41" s="162">
        <f>AP40+IF(AND(leveraged_property,$B41&lt;=amort_period),PPMT(AP$3/12,$B41,amort_period,loan_amount),0)</f>
        <v>9099515.6674916539</v>
      </c>
      <c r="AQ41" s="149">
        <f ca="1">SUM(AO41,Model_Mthly!$AA41,-AP41)</f>
        <v>15281740.44987979</v>
      </c>
      <c r="AR41" s="149">
        <f>SUM(Model_Mthly!$Q41,-IF(AND(leveraged_property,B41&lt;=amort_period),-PMT(AR$3/12,amort_period,loan_amount),0))</f>
        <v>116253.8849542379</v>
      </c>
      <c r="AS41" s="162">
        <f>AS40+IF(AND(leveraged_property,$B41&lt;=amort_period),PPMT(AS$3/12,$B41,amort_period,loan_amount),0)</f>
        <v>9116669.2922684699</v>
      </c>
      <c r="AT41" s="149">
        <f ca="1">SUM(AR41,Model_Mthly!$AA41,-AS41)</f>
        <v>15263068.946575597</v>
      </c>
      <c r="AU41" s="149">
        <f>SUM(Model_Mthly!$Q41,-IF(AND(leveraged_property,B41&lt;=amort_period),-PMT(AU$3/12,amort_period,loan_amount),0))</f>
        <v>114718.05080324262</v>
      </c>
      <c r="AV41" s="162">
        <f>AV40+IF(AND(leveraged_property,$B41&lt;=amort_period),PPMT(AV$3/12,$B41,amort_period,loan_amount),0)</f>
        <v>9133229.0068063326</v>
      </c>
      <c r="AW41" s="149">
        <f ca="1">SUM(AU41,Model_Mthly!$AA41,-AV41)</f>
        <v>15244973.397886742</v>
      </c>
      <c r="AX41" s="103"/>
      <c r="AY41" s="288">
        <f ca="1">IF(AND(leveraged_property,down_payment&gt;0),IRR(($AC$4:AC40,AE41),),"N/A")</f>
        <v>1.6053925766028133E-2</v>
      </c>
      <c r="AZ41" s="288">
        <f ca="1">IF(AND(leveraged_property,down_payment&gt;0),IRR(($AF$4:AF40,AH41),),"N/A")</f>
        <v>1.5911538278726361E-2</v>
      </c>
      <c r="BA41" s="288">
        <f ca="1">IF(AND(leveraged_property,down_payment&gt;0),IRR(($AI$4:AI40,AK41),),"N/A")</f>
        <v>1.5768478126852267E-2</v>
      </c>
      <c r="BB41" s="303">
        <f ca="1">IF(AND(leveraged_property,down_payment&gt;0),IRR(($AL$4:AL40,AN41),),"N/A")</f>
        <v>1.5624771299319089E-2</v>
      </c>
      <c r="BC41" s="288">
        <f ca="1">IF(AND(leveraged_property,down_payment&gt;0),IRR(($AO$4:AO40,AQ41),),"N/A")</f>
        <v>1.548044358110208E-2</v>
      </c>
      <c r="BD41" s="288">
        <f ca="1">IF(AND(leveraged_property,down_payment&gt;0),IRR(($AR$4:AR40,AT41),),"N/A")</f>
        <v>1.5335520501887492E-2</v>
      </c>
      <c r="BE41" s="288">
        <f ca="1">IF(AND(leveraged_property,down_payment&gt;0),IRR(($AU$4:AU40,AW41),),"N/A")</f>
        <v>1.5190027287702083E-2</v>
      </c>
      <c r="BF41" s="103"/>
      <c r="BG41" s="290">
        <f ca="1">IF(AND(leveraged_property,down_payment&gt;0),((1+AY41)^12)-1,"N/A")</f>
        <v>0.21060119485590123</v>
      </c>
      <c r="BH41" s="290">
        <f ca="1">IF(AND(leveraged_property,down_payment&gt;0),((1+AZ41)^12)-1,"N/A")</f>
        <v>0.20856695244778956</v>
      </c>
      <c r="BI41" s="290">
        <f ca="1">IF(AND(leveraged_property,down_payment&gt;0),((1+BA41)^12)-1,"N/A")</f>
        <v>0.20652625597940721</v>
      </c>
      <c r="BJ41" s="305">
        <f ca="1">IF(AND(leveraged_property,down_payment&gt;0),((1+BB41)^12)-1,"N/A")</f>
        <v>0.20447951544984333</v>
      </c>
      <c r="BK41" s="290">
        <f ca="1">IF(AND(leveraged_property,down_payment&gt;0),((1+BC41)^12)-1,"N/A")</f>
        <v>0.20242713573791615</v>
      </c>
      <c r="BL41" s="290">
        <f ca="1">IF(AND(leveraged_property,down_payment&gt;0),((1+BD41)^12)-1,"N/A")</f>
        <v>0.20036951587806384</v>
      </c>
      <c r="BM41" s="290">
        <f ca="1">IF(AND(leveraged_property,down_payment&gt;0),((1+BE41)^12)-1,"N/A")</f>
        <v>0.19830704838674129</v>
      </c>
    </row>
    <row r="42" spans="1:65">
      <c r="A42" s="137">
        <f>Model_Mthly!A42</f>
        <v>41320</v>
      </c>
      <c r="B42" s="138">
        <f>Model_Mthly!B42</f>
        <v>38</v>
      </c>
      <c r="C42" s="223"/>
      <c r="D42" s="139">
        <f>Model_Mthly!AQ42</f>
        <v>64885.137590784791</v>
      </c>
      <c r="E42" s="231">
        <f>IF(OR($H$3&lt;=0.0075,$H$3=""),0,SUM(Model_Mthly!AQ42,(SUM(Model_Mthly!Q43:Q54)/$E$3)*(1-cost_of_sale),-Model_Mthly!V42))</f>
        <v>18131583.880997848</v>
      </c>
      <c r="F42" s="231">
        <f>IF(OR($H$3&lt;=0.0075,$H$3=""),0,SUM(Model_Mthly!AQ42,(SUM(Model_Mthly!Q43:Q54)/$F$3)*(1-cost_of_sale),-Model_Mthly!V42))</f>
        <v>17227045.859733213</v>
      </c>
      <c r="G42" s="231">
        <f>IF(OR($H$3&lt;=0.0075,$H$3=""),0,SUM(Model_Mthly!AQ42,(SUM(Model_Mthly!Q43:Q54)/$G$3)*(1-cost_of_sale),-Model_Mthly!V42))</f>
        <v>16380865.130163066</v>
      </c>
      <c r="H42" s="232">
        <f>IF(OR($H$3&lt;=0.0075,$H$3=""),0,SUM(Model_Mthly!AQ42,(SUM(Model_Mthly!Q43:Q54)/$H$3)*(1-cost_of_sale),-Model_Mthly!V42))</f>
        <v>15587570.696191054</v>
      </c>
      <c r="I42" s="231">
        <f>IF(OR($H$3&lt;=0.0075,$H$3=""),0,SUM(Model_Mthly!AQ42,(SUM(Model_Mthly!Q43:Q54)/$I$3)*(1-cost_of_sale),-Model_Mthly!V42))</f>
        <v>14842354.712762803</v>
      </c>
      <c r="J42" s="231">
        <f>IF(OR($H$3&lt;=0.0075,$H$3=""),0,SUM(Model_Mthly!AQ42,(SUM(Model_Mthly!Q43:Q54)/$J$3)*(1-cost_of_sale),-Model_Mthly!V42))</f>
        <v>14140974.963653859</v>
      </c>
      <c r="K42" s="231">
        <f>IF(OR($H$3&lt;=0.0075,$H$3=""),0,SUM(Model_Mthly!AQ42,(SUM(Model_Mthly!Q43:Q54)/$K$3)*(1-cost_of_sale),-Model_Mthly!V42))</f>
        <v>13479674.057351142</v>
      </c>
      <c r="L42" s="160"/>
      <c r="M42" s="302">
        <f>IF(OR($H$3&lt;=0.0075,$H$3="",down_payment&lt;=0),"N/A",IRR(($D$4:D41,E42),))</f>
        <v>1.9424316632919388E-2</v>
      </c>
      <c r="N42" s="288">
        <f>IF(OR($H$3&lt;=0.0075,$H$3="",down_payment&lt;=0),"N/A",IRR(($D$4:D41,F42),))</f>
        <v>1.8217261512642271E-2</v>
      </c>
      <c r="O42" s="288">
        <f>IF(OR($H$3&lt;=0.0075,$H$3="",down_payment&lt;=0),"N/A",IRR(($D$4:D41,G42),))</f>
        <v>1.7035733992164334E-2</v>
      </c>
      <c r="P42" s="303">
        <f>IF(OR($H$3&lt;=0.0075,$H$3="",down_payment&lt;=0),"N/A",IRR(($D$4:D41,H42),))</f>
        <v>1.5877667425157359E-2</v>
      </c>
      <c r="Q42" s="288">
        <f>IF(OR($H$3&lt;=0.0075,$H$3="",down_payment&lt;=0),"N/A",IRR(($D$4:D41,I42),))</f>
        <v>1.474116979309374E-2</v>
      </c>
      <c r="R42" s="288">
        <f>IF(OR($H$3&lt;=0.0075,$H$3="",down_payment&lt;=0),"N/A",IRR(($D$4:D41,J42),))</f>
        <v>1.362450161219138E-2</v>
      </c>
      <c r="S42" s="288">
        <f>IF(OR($H$3&lt;=0.0075,$H$3="",down_payment&lt;=0),"N/A",IRR(($D$4:D41,K42),))</f>
        <v>1.252605698081446E-2</v>
      </c>
      <c r="T42" s="233"/>
      <c r="U42" s="304">
        <f t="shared" si="11"/>
        <v>0.2596789288091863</v>
      </c>
      <c r="V42" s="304">
        <f t="shared" si="12"/>
        <v>0.24189667017287597</v>
      </c>
      <c r="W42" s="304">
        <f t="shared" si="13"/>
        <v>0.22471362041778331</v>
      </c>
      <c r="X42" s="305">
        <f t="shared" si="14"/>
        <v>0.20808351245680989</v>
      </c>
      <c r="Y42" s="304">
        <f t="shared" si="15"/>
        <v>0.19196463327714586</v>
      </c>
      <c r="Z42" s="304">
        <f t="shared" si="16"/>
        <v>0.17631923518270032</v>
      </c>
      <c r="AA42" s="304">
        <f t="shared" si="17"/>
        <v>0.16111303671173238</v>
      </c>
      <c r="AB42" s="103"/>
      <c r="AC42" s="149">
        <f>SUM(Model_Mthly!$Q42,-IF(AND(leveraged_property,B42&lt;=amort_period),-PMT(AC$3/12,amort_period,loan_amount),0))</f>
        <v>69268.595750953886</v>
      </c>
      <c r="AD42" s="149">
        <f>AD41+IF(AND(leveraged_property,$B42&lt;=amort_period),PPMT(AD$3/12,$B42,amort_period,loan_amount),0)</f>
        <v>9010915.5325825792</v>
      </c>
      <c r="AE42" s="149">
        <f ca="1">SUM(AC42,Model_Mthly!$AA42,-AD42)</f>
        <v>15650480.516300702</v>
      </c>
      <c r="AF42" s="149">
        <f>SUM(Model_Mthly!$Q42,-IF(AND(leveraged_property,B42&lt;=amort_period),-PMT(AF$3/12,amort_period,loan_amount),0))</f>
        <v>67827.038532596896</v>
      </c>
      <c r="AG42" s="149">
        <f>AG41+IF(AND(leveraged_property,$B42&lt;=amort_period),PPMT(AG$3/12,$B42,amort_period,loan_amount),0)</f>
        <v>9031070.4891531393</v>
      </c>
      <c r="AH42" s="149">
        <f ca="1">SUM(AF42,Model_Mthly!$AA42,-AG42)</f>
        <v>15628884.002511784</v>
      </c>
      <c r="AI42" s="149">
        <f>SUM(Model_Mthly!$Q42,-IF(AND(leveraged_property,B42&lt;=amort_period),-PMT(AI$3/12,amort_period,loan_amount),0))</f>
        <v>66365.741015270178</v>
      </c>
      <c r="AJ42" s="149">
        <f>AJ41+IF(AND(leveraged_property,$B42&lt;=amort_period),PPMT(AJ$3/12,$B42,amort_period,loan_amount),0)</f>
        <v>9050576.0780909359</v>
      </c>
      <c r="AK42" s="149">
        <f ca="1">SUM(AI42,Model_Mthly!$AA42,-AJ42)</f>
        <v>15607917.116056662</v>
      </c>
      <c r="AL42" s="229">
        <f>SUM(Model_Mthly!$Q42,-IF(AND(leveraged_property,B42&lt;=amort_period),-PMT(AL$3/12,amort_period,loan_amount),0))</f>
        <v>64885.137590784791</v>
      </c>
      <c r="AM42" s="229">
        <f>AM41+IF(AND(leveraged_property,$B42&lt;=amort_period),PPMT(AM$3/12,$B42,amort_period,loan_amount),0)</f>
        <v>9069441.8945320584</v>
      </c>
      <c r="AN42" s="229">
        <f ca="1">SUM(AL42,Model_Mthly!$AA42,-AM42)</f>
        <v>15587570.696191054</v>
      </c>
      <c r="AO42" s="149">
        <f>SUM(Model_Mthly!$Q42,-IF(AND(leveraged_property,B42&lt;=amort_period),-PMT(AO$3/12,amort_period,loan_amount),0))</f>
        <v>63385.671356612598</v>
      </c>
      <c r="AP42" s="162">
        <f>AP41+IF(AND(leveraged_property,$B42&lt;=amort_period),PPMT(AP$3/12,$B42,amort_period,loan_amount),0)</f>
        <v>9087678.0920362473</v>
      </c>
      <c r="AQ42" s="149">
        <f ca="1">SUM(AO42,Model_Mthly!$AA42,-AP42)</f>
        <v>15567835.032452691</v>
      </c>
      <c r="AR42" s="149">
        <f>SUM(Model_Mthly!$Q42,-IF(AND(leveraged_property,B42&lt;=amort_period),-PMT(AR$3/12,amort_period,loan_amount),0))</f>
        <v>61867.792829237922</v>
      </c>
      <c r="AS42" s="162">
        <f>AS41+IF(AND(leveraged_property,$B42&lt;=amort_period),PPMT(AS$3/12,$B42,amort_period,loan_amount),0)</f>
        <v>9105295.3388403002</v>
      </c>
      <c r="AT42" s="149">
        <f ca="1">SUM(AR42,Model_Mthly!$AA42,-AS42)</f>
        <v>15548699.907121265</v>
      </c>
      <c r="AU42" s="149">
        <f>SUM(Model_Mthly!$Q42,-IF(AND(leveraged_property,B42&lt;=amort_period),-PMT(AU$3/12,amort_period,loan_amount),0))</f>
        <v>60331.958678242634</v>
      </c>
      <c r="AV42" s="162">
        <f>AV41+IF(AND(leveraged_property,$B42&lt;=amort_period),PPMT(AV$3/12,$B42,amort_period,loan_amount),0)</f>
        <v>9122304.773842942</v>
      </c>
      <c r="AW42" s="149">
        <f ca="1">SUM(AU42,Model_Mthly!$AA42,-AV42)</f>
        <v>15530154.637967627</v>
      </c>
      <c r="AX42" s="103"/>
      <c r="AY42" s="288">
        <f ca="1">IF(AND(leveraged_property,down_payment&gt;0),IRR(($AC$4:AC41,AE42),),"N/A")</f>
        <v>1.6302162305724514E-2</v>
      </c>
      <c r="AZ42" s="288">
        <f ca="1">IF(AND(leveraged_property,down_payment&gt;0),IRR(($AF$4:AF41,AH42),),"N/A")</f>
        <v>1.6161338311365733E-2</v>
      </c>
      <c r="BA42" s="288">
        <f ca="1">IF(AND(leveraged_property,down_payment&gt;0),IRR(($AI$4:AI41,AK42),),"N/A")</f>
        <v>1.6019831263296279E-2</v>
      </c>
      <c r="BB42" s="303">
        <f ca="1">IF(AND(leveraged_property,down_payment&gt;0),IRR(($AL$4:AL41,AN42),),"N/A")</f>
        <v>1.5877667425157359E-2</v>
      </c>
      <c r="BC42" s="288">
        <f ca="1">IF(AND(leveraged_property,down_payment&gt;0),IRR(($AO$4:AO41,AQ42),),"N/A")</f>
        <v>1.5734872866342182E-2</v>
      </c>
      <c r="BD42" s="288">
        <f ca="1">IF(AND(leveraged_property,down_payment&gt;0),IRR(($AR$4:AR41,AT42),),"N/A")</f>
        <v>1.5591473409552402E-2</v>
      </c>
      <c r="BE42" s="288">
        <f ca="1">IF(AND(leveraged_property,down_payment&gt;0),IRR(($AU$4:AU41,AW42),),"N/A")</f>
        <v>1.5447494581337786E-2</v>
      </c>
      <c r="BF42" s="103"/>
      <c r="BG42" s="290">
        <f ca="1">IF(AND(leveraged_property,down_payment&gt;0),((1+AY42)^12)-1,"N/A")</f>
        <v>0.21415517463099176</v>
      </c>
      <c r="BH42" s="290">
        <f ca="1">IF(AND(leveraged_property,down_payment&gt;0),((1+AZ42)^12)-1,"N/A")</f>
        <v>0.21213783835736066</v>
      </c>
      <c r="BI42" s="290">
        <f ca="1">IF(AND(leveraged_property,down_payment&gt;0),((1+BA42)^12)-1,"N/A")</f>
        <v>0.21011381250746775</v>
      </c>
      <c r="BJ42" s="305">
        <f ca="1">IF(AND(leveraged_property,down_payment&gt;0),((1+BB42)^12)-1,"N/A")</f>
        <v>0.20808351245680989</v>
      </c>
      <c r="BK42" s="290">
        <f ca="1">IF(AND(leveraged_property,down_payment&gt;0),((1+BC42)^12)-1,"N/A")</f>
        <v>0.20604734859261442</v>
      </c>
      <c r="BL42" s="290">
        <f ca="1">IF(AND(leveraged_property,down_payment&gt;0),((1+BD42)^12)-1,"N/A")</f>
        <v>0.20400572557005958</v>
      </c>
      <c r="BM42" s="290">
        <f ca="1">IF(AND(leveraged_property,down_payment&gt;0),((1+BE42)^12)-1,"N/A")</f>
        <v>0.20195904161931244</v>
      </c>
    </row>
    <row r="43" spans="1:65">
      <c r="A43" s="137">
        <f>Model_Mthly!A43</f>
        <v>41348</v>
      </c>
      <c r="B43" s="138">
        <f>Model_Mthly!B43</f>
        <v>39</v>
      </c>
      <c r="C43" s="223"/>
      <c r="D43" s="139">
        <f>Model_Mthly!AQ43</f>
        <v>119271.22971578478</v>
      </c>
      <c r="E43" s="231">
        <f>IF(OR($H$3&lt;=0.0075,$H$3=""),0,SUM(Model_Mthly!AQ43,(SUM(Model_Mthly!Q44:Q55)/$E$3)*(1-cost_of_sale),-Model_Mthly!V43))</f>
        <v>18590256.630197428</v>
      </c>
      <c r="F43" s="231">
        <f>IF(OR($H$3&lt;=0.0075,$H$3=""),0,SUM(Model_Mthly!AQ43,(SUM(Model_Mthly!Q44:Q55)/$F$3)*(1-cost_of_sale),-Model_Mthly!V43))</f>
        <v>17672654.776356235</v>
      </c>
      <c r="G43" s="231">
        <f>IF(OR($H$3&lt;=0.0075,$H$3=""),0,SUM(Model_Mthly!AQ43,(SUM(Model_Mthly!Q44:Q55)/$G$3)*(1-cost_of_sale),-Model_Mthly!V43))</f>
        <v>16814253.042117707</v>
      </c>
      <c r="H43" s="232">
        <f>IF(OR($H$3&lt;=0.0075,$H$3=""),0,SUM(Model_Mthly!AQ43,(SUM(Model_Mthly!Q44:Q55)/$H$3)*(1-cost_of_sale),-Model_Mthly!V43))</f>
        <v>16009501.416269081</v>
      </c>
      <c r="I43" s="231">
        <f>IF(OR($H$3&lt;=0.0075,$H$3=""),0,SUM(Model_Mthly!AQ43,(SUM(Model_Mthly!Q44:Q55)/$I$3)*(1-cost_of_sale),-Model_Mthly!V43))</f>
        <v>15253522.616229465</v>
      </c>
      <c r="J43" s="231">
        <f>IF(OR($H$3&lt;=0.0075,$H$3=""),0,SUM(Model_Mthly!AQ43,(SUM(Model_Mthly!Q44:Q55)/$J$3)*(1-cost_of_sale),-Model_Mthly!V43))</f>
        <v>14542013.157368651</v>
      </c>
      <c r="K43" s="231">
        <f>IF(OR($H$3&lt;=0.0075,$H$3=""),0,SUM(Model_Mthly!AQ43,(SUM(Model_Mthly!Q44:Q55)/$K$3)*(1-cost_of_sale),-Model_Mthly!V43))</f>
        <v>13871161.381871307</v>
      </c>
      <c r="L43" s="160"/>
      <c r="M43" s="302">
        <f>IF(OR($H$3&lt;=0.0075,$H$3="",down_payment&lt;=0),"N/A",IRR(($D$4:D42,E43),))</f>
        <v>1.963930363509752E-2</v>
      </c>
      <c r="N43" s="288">
        <f>IF(OR($H$3&lt;=0.0075,$H$3="",down_payment&lt;=0),"N/A",IRR(($D$4:D42,F43),))</f>
        <v>1.8475305903332524E-2</v>
      </c>
      <c r="O43" s="288">
        <f>IF(OR($H$3&lt;=0.0075,$H$3="",down_payment&lt;=0),"N/A",IRR(($D$4:D42,G43),))</f>
        <v>1.7336402417493096E-2</v>
      </c>
      <c r="P43" s="303">
        <f>IF(OR($H$3&lt;=0.0075,$H$3="",down_payment&lt;=0),"N/A",IRR(($D$4:D42,H43),))</f>
        <v>1.6220595139495388E-2</v>
      </c>
      <c r="Q43" s="288">
        <f>IF(OR($H$3&lt;=0.0075,$H$3="",down_payment&lt;=0),"N/A",IRR(($D$4:D42,I43),))</f>
        <v>1.5126056510779124E-2</v>
      </c>
      <c r="R43" s="288">
        <f>IF(OR($H$3&lt;=0.0075,$H$3="",down_payment&lt;=0),"N/A",IRR(($D$4:D42,J43),))</f>
        <v>1.4051108024568791E-2</v>
      </c>
      <c r="S43" s="288">
        <f>IF(OR($H$3&lt;=0.0075,$H$3="",down_payment&lt;=0),"N/A",IRR(($D$4:D42,K43),))</f>
        <v>1.2994201856059977E-2</v>
      </c>
      <c r="T43" s="233"/>
      <c r="U43" s="304">
        <f t="shared" si="11"/>
        <v>0.26287048228295351</v>
      </c>
      <c r="V43" s="304">
        <f t="shared" si="12"/>
        <v>0.24567871008840303</v>
      </c>
      <c r="W43" s="304">
        <f t="shared" si="13"/>
        <v>0.22906546802675609</v>
      </c>
      <c r="X43" s="305">
        <f t="shared" si="14"/>
        <v>0.21298633139657897</v>
      </c>
      <c r="Y43" s="304">
        <f t="shared" si="15"/>
        <v>0.19740124668490289</v>
      </c>
      <c r="Z43" s="304">
        <f t="shared" si="16"/>
        <v>0.18227396792304562</v>
      </c>
      <c r="AA43" s="304">
        <f t="shared" si="17"/>
        <v>0.16757157883642071</v>
      </c>
      <c r="AB43" s="103"/>
      <c r="AC43" s="149">
        <f>SUM(Model_Mthly!$Q43,-IF(AND(leveraged_property,B43&lt;=amort_period),-PMT(AC$3/12,amort_period,loan_amount),0))</f>
        <v>123654.68787595388</v>
      </c>
      <c r="AD43" s="149">
        <f>AD42+IF(AND(leveraged_property,$B43&lt;=amort_period),PPMT(AD$3/12,$B43,amort_period,loan_amount),0)</f>
        <v>8997027.2429312561</v>
      </c>
      <c r="AE43" s="149">
        <f ca="1">SUM(AC43,Model_Mthly!$AA43,-AD43)</f>
        <v>16073927.846252026</v>
      </c>
      <c r="AF43" s="149">
        <f>SUM(Model_Mthly!$Q43,-IF(AND(leveraged_property,B43&lt;=amort_period),-PMT(AF$3/12,amort_period,loan_amount),0))</f>
        <v>122213.13065759688</v>
      </c>
      <c r="AG43" s="149">
        <f>AG42+IF(AND(leveraged_property,$B43&lt;=amort_period),PPMT(AG$3/12,$B43,amort_period,loan_amount),0)</f>
        <v>9017701.8953384571</v>
      </c>
      <c r="AH43" s="149">
        <f ca="1">SUM(AF43,Model_Mthly!$AA43,-AG43)</f>
        <v>16051811.636626471</v>
      </c>
      <c r="AI43" s="149">
        <f>SUM(Model_Mthly!$Q43,-IF(AND(leveraged_property,B43&lt;=amort_period),-PMT(AI$3/12,amort_period,loan_amount),0))</f>
        <v>120751.83314027017</v>
      </c>
      <c r="AJ43" s="149">
        <f>AJ42+IF(AND(leveraged_property,$B43&lt;=amort_period),PPMT(AJ$3/12,$B43,amort_period,loan_amount),0)</f>
        <v>9037712.9967291038</v>
      </c>
      <c r="AK43" s="149">
        <f ca="1">SUM(AI43,Model_Mthly!$AA43,-AJ43)</f>
        <v>16030339.237718495</v>
      </c>
      <c r="AL43" s="229">
        <f>SUM(Model_Mthly!$Q43,-IF(AND(leveraged_property,B43&lt;=amort_period),-PMT(AL$3/12,amort_period,loan_amount),0))</f>
        <v>119271.22971578478</v>
      </c>
      <c r="AM43" s="229">
        <f>AM42+IF(AND(leveraged_property,$B43&lt;=amort_period),PPMT(AM$3/12,$B43,amort_period,loan_amount),0)</f>
        <v>9057070.214754032</v>
      </c>
      <c r="AN43" s="229">
        <f ca="1">SUM(AL43,Model_Mthly!$AA43,-AM43)</f>
        <v>16009501.416269081</v>
      </c>
      <c r="AO43" s="149">
        <f>SUM(Model_Mthly!$Q43,-IF(AND(leveraged_property,B43&lt;=amort_period),-PMT(AO$3/12,amort_period,loan_amount),0))</f>
        <v>117771.76348161258</v>
      </c>
      <c r="AP43" s="162">
        <f>AP42+IF(AND(leveraged_property,$B43&lt;=amort_period),PPMT(AP$3/12,$B43,amort_period,loan_amount),0)</f>
        <v>9075783.7948651165</v>
      </c>
      <c r="AQ43" s="149">
        <f ca="1">SUM(AO43,Model_Mthly!$AA43,-AP43)</f>
        <v>15989288.369923826</v>
      </c>
      <c r="AR43" s="149">
        <f>SUM(Model_Mthly!$Q43,-IF(AND(leveraged_property,B43&lt;=amort_period),-PMT(AR$3/12,amort_period,loan_amount),0))</f>
        <v>116253.8849542379</v>
      </c>
      <c r="AS43" s="162">
        <f>AS42+IF(AND(leveraged_property,$B43&lt;=amort_period),PPMT(AS$3/12,$B43,amort_period,loan_amount),0)</f>
        <v>9093864.5156449899</v>
      </c>
      <c r="AT43" s="149">
        <f ca="1">SUM(AR43,Model_Mthly!$AA43,-AS43)</f>
        <v>15969689.770616576</v>
      </c>
      <c r="AU43" s="149">
        <f>SUM(Model_Mthly!$Q43,-IF(AND(leveraged_property,B43&lt;=amort_period),-PMT(AU$3/12,amort_period,loan_amount),0))</f>
        <v>114718.05080324262</v>
      </c>
      <c r="AV43" s="162">
        <f>AV42+IF(AND(leveraged_property,$B43&lt;=amort_period),PPMT(AV$3/12,$B43,amort_period,loan_amount),0)</f>
        <v>9111323.6438328661</v>
      </c>
      <c r="AW43" s="149">
        <f ca="1">SUM(AU43,Model_Mthly!$AA43,-AV43)</f>
        <v>15950694.808277708</v>
      </c>
      <c r="AX43" s="103"/>
      <c r="AY43" s="288">
        <f ca="1">IF(AND(leveraged_property,down_payment&gt;0),IRR(($AC$4:AC42,AE43),),"N/A")</f>
        <v>1.6639493967422776E-2</v>
      </c>
      <c r="AZ43" s="288">
        <f ca="1">IF(AND(leveraged_property,down_payment&gt;0),IRR(($AF$4:AF42,AH43),),"N/A")</f>
        <v>1.650054452816177E-2</v>
      </c>
      <c r="BA43" s="288">
        <f ca="1">IF(AND(leveraged_property,down_payment&gt;0),IRR(($AI$4:AI42,AK43),),"N/A")</f>
        <v>1.6360902758967417E-2</v>
      </c>
      <c r="BB43" s="303">
        <f ca="1">IF(AND(leveraged_property,down_payment&gt;0),IRR(($AL$4:AL42,AN43),),"N/A")</f>
        <v>1.6220595139495388E-2</v>
      </c>
      <c r="BC43" s="288">
        <f ca="1">IF(AND(leveraged_property,down_payment&gt;0),IRR(($AO$4:AO42,AQ43),),"N/A")</f>
        <v>1.6079647966694827E-2</v>
      </c>
      <c r="BD43" s="288">
        <f ca="1">IF(AND(leveraged_property,down_payment&gt;0),IRR(($AR$4:AR42,AT43),),"N/A")</f>
        <v>1.5938087301352745E-2</v>
      </c>
      <c r="BE43" s="288">
        <f ca="1">IF(AND(leveraged_property,down_payment&gt;0),IRR(($AU$4:AU42,AW43),),"N/A")</f>
        <v>1.5795938917620874E-2</v>
      </c>
      <c r="BF43" s="103"/>
      <c r="BG43" s="290">
        <f ca="1">IF(AND(leveraged_property,down_payment&gt;0),((1+AY43)^12)-1,"N/A")</f>
        <v>0.21900005081687834</v>
      </c>
      <c r="BH43" s="290">
        <f ca="1">IF(AND(leveraged_property,down_payment&gt;0),((1+AZ43)^12)-1,"N/A")</f>
        <v>0.21700226763763086</v>
      </c>
      <c r="BI43" s="290">
        <f ca="1">IF(AND(leveraged_property,down_payment&gt;0),((1+BA43)^12)-1,"N/A")</f>
        <v>0.21499755443750845</v>
      </c>
      <c r="BJ43" s="305">
        <f ca="1">IF(AND(leveraged_property,down_payment&gt;0),((1+BB43)^12)-1,"N/A")</f>
        <v>0.21298633139657897</v>
      </c>
      <c r="BK43" s="290">
        <f ca="1">IF(AND(leveraged_property,down_payment&gt;0),((1+BC43)^12)-1,"N/A")</f>
        <v>0.21096901387233014</v>
      </c>
      <c r="BL43" s="290">
        <f ca="1">IF(AND(leveraged_property,down_payment&gt;0),((1+BD43)^12)-1,"N/A")</f>
        <v>0.20894601163634241</v>
      </c>
      <c r="BM43" s="290">
        <f ca="1">IF(AND(leveraged_property,down_payment&gt;0),((1+BE43)^12)-1,"N/A")</f>
        <v>0.20691772816200737</v>
      </c>
    </row>
    <row r="44" spans="1:65">
      <c r="A44" s="137">
        <f>Model_Mthly!A44</f>
        <v>41379</v>
      </c>
      <c r="B44" s="138">
        <f>Model_Mthly!B44</f>
        <v>40</v>
      </c>
      <c r="C44" s="223"/>
      <c r="D44" s="139">
        <f>Model_Mthly!AQ44</f>
        <v>119255.63864312854</v>
      </c>
      <c r="E44" s="231">
        <f>IF(OR($H$3&lt;=0.0075,$H$3=""),0,SUM(Model_Mthly!AQ44,(SUM(Model_Mthly!Q45:Q56)/$E$3)*(1-cost_of_sale),-Model_Mthly!V44))</f>
        <v>18994577.69019419</v>
      </c>
      <c r="F44" s="231">
        <f>IF(OR($H$3&lt;=0.0075,$H$3=""),0,SUM(Model_Mthly!AQ44,(SUM(Model_Mthly!Q45:Q56)/$F$3)*(1-cost_of_sale),-Model_Mthly!V44))</f>
        <v>18063912.227427699</v>
      </c>
      <c r="G44" s="231">
        <f>IF(OR($H$3&lt;=0.0075,$H$3=""),0,SUM(Model_Mthly!AQ44,(SUM(Model_Mthly!Q45:Q56)/$G$3)*(1-cost_of_sale),-Model_Mthly!V44))</f>
        <v>17193289.697742917</v>
      </c>
      <c r="H44" s="232">
        <f>IF(OR($H$3&lt;=0.0075,$H$3=""),0,SUM(Model_Mthly!AQ44,(SUM(Model_Mthly!Q45:Q56)/$H$3)*(1-cost_of_sale),-Model_Mthly!V44))</f>
        <v>16377081.07616343</v>
      </c>
      <c r="I44" s="231">
        <f>IF(OR($H$3&lt;=0.0075,$H$3=""),0,SUM(Model_Mthly!AQ44,(SUM(Model_Mthly!Q45:Q56)/$I$3)*(1-cost_of_sale),-Model_Mthly!V44))</f>
        <v>15610339.643770583</v>
      </c>
      <c r="J44" s="231">
        <f>IF(OR($H$3&lt;=0.0075,$H$3=""),0,SUM(Model_Mthly!AQ44,(SUM(Model_Mthly!Q45:Q56)/$J$3)*(1-cost_of_sale),-Model_Mthly!V44))</f>
        <v>14888700.64857731</v>
      </c>
      <c r="K44" s="231">
        <f>IF(OR($H$3&lt;=0.0075,$H$3=""),0,SUM(Model_Mthly!AQ44,(SUM(Model_Mthly!Q45:Q56)/$K$3)*(1-cost_of_sale),-Model_Mthly!V44))</f>
        <v>14208298.167395089</v>
      </c>
      <c r="L44" s="160"/>
      <c r="M44" s="302">
        <f>IF(OR($H$3&lt;=0.0075,$H$3="",down_payment&lt;=0),"N/A",IRR(($D$4:D43,E44),))</f>
        <v>1.9829904112460661E-2</v>
      </c>
      <c r="N44" s="288">
        <f>IF(OR($H$3&lt;=0.0075,$H$3="",down_payment&lt;=0),"N/A",IRR(($D$4:D43,F44),))</f>
        <v>1.8706327214668979E-2</v>
      </c>
      <c r="O44" s="288">
        <f>IF(OR($H$3&lt;=0.0075,$H$3="",down_payment&lt;=0),"N/A",IRR(($D$4:D43,G44),))</f>
        <v>1.7607413293870052E-2</v>
      </c>
      <c r="P44" s="303">
        <f>IF(OR($H$3&lt;=0.0075,$H$3="",down_payment&lt;=0),"N/A",IRR(($D$4:D43,H44),))</f>
        <v>1.653122814028379E-2</v>
      </c>
      <c r="Q44" s="288">
        <f>IF(OR($H$3&lt;=0.0075,$H$3="",down_payment&lt;=0),"N/A",IRR(($D$4:D43,I44),))</f>
        <v>1.547600400278349E-2</v>
      </c>
      <c r="R44" s="288">
        <f>IF(OR($H$3&lt;=0.0075,$H$3="",down_payment&lt;=0),"N/A",IRR(($D$4:D43,J44),))</f>
        <v>1.4440118783158915E-2</v>
      </c>
      <c r="S44" s="288">
        <f>IF(OR($H$3&lt;=0.0075,$H$3="",down_payment&lt;=0),"N/A",IRR(($D$4:D43,K44),))</f>
        <v>1.3422078209243035E-2</v>
      </c>
      <c r="T44" s="233"/>
      <c r="U44" s="304">
        <f t="shared" si="11"/>
        <v>0.26570620672438139</v>
      </c>
      <c r="V44" s="304">
        <f t="shared" si="12"/>
        <v>0.2490736392191113</v>
      </c>
      <c r="W44" s="304">
        <f t="shared" si="13"/>
        <v>0.23300019686361439</v>
      </c>
      <c r="X44" s="305">
        <f t="shared" si="14"/>
        <v>0.21744317119715673</v>
      </c>
      <c r="Y44" s="304">
        <f t="shared" si="15"/>
        <v>0.20236405456939921</v>
      </c>
      <c r="Z44" s="304">
        <f t="shared" si="16"/>
        <v>0.18772799977632415</v>
      </c>
      <c r="AA44" s="304">
        <f t="shared" si="17"/>
        <v>0.17350336189163129</v>
      </c>
      <c r="AB44" s="103"/>
      <c r="AC44" s="149">
        <f>SUM(Model_Mthly!$Q44,-IF(AND(leveraged_property,B44&lt;=amort_period),-PMT(AC$3/12,amort_period,loan_amount),0))</f>
        <v>123639.09680329764</v>
      </c>
      <c r="AD44" s="149">
        <f>AD43+IF(AND(leveraged_property,$B44&lt;=amort_period),PPMT(AD$3/12,$B44,amort_period,loan_amount),0)</f>
        <v>8983083.9788000621</v>
      </c>
      <c r="AE44" s="149">
        <f ca="1">SUM(AC44,Model_Mthly!$AA44,-AD44)</f>
        <v>16443022.386967227</v>
      </c>
      <c r="AF44" s="149">
        <f>SUM(Model_Mthly!$Q44,-IF(AND(leveraged_property,B44&lt;=amort_period),-PMT(AF$3/12,amort_period,loan_amount),0))</f>
        <v>122197.53958494063</v>
      </c>
      <c r="AG44" s="149">
        <f>AG43+IF(AND(leveraged_property,$B44&lt;=amort_period),PPMT(AG$3/12,$B44,amort_period,loan_amount),0)</f>
        <v>9004277.5990495477</v>
      </c>
      <c r="AH44" s="149">
        <f ca="1">SUM(AF44,Model_Mthly!$AA44,-AG44)</f>
        <v>16420387.209499387</v>
      </c>
      <c r="AI44" s="149">
        <f>SUM(Model_Mthly!$Q44,-IF(AND(leveraged_property,B44&lt;=amort_period),-PMT(AI$3/12,amort_period,loan_amount),0))</f>
        <v>120736.24206761393</v>
      </c>
      <c r="AJ44" s="149">
        <f>AJ43+IF(AND(leveraged_property,$B44&lt;=amort_period),PPMT(AJ$3/12,$B44,amort_period,loan_amount),0)</f>
        <v>9024793.639386313</v>
      </c>
      <c r="AK44" s="149">
        <f ca="1">SUM(AI44,Model_Mthly!$AA44,-AJ44)</f>
        <v>16398409.871645292</v>
      </c>
      <c r="AL44" s="229">
        <f>SUM(Model_Mthly!$Q44,-IF(AND(leveraged_property,B44&lt;=amort_period),-PMT(AL$3/12,amort_period,loan_amount),0))</f>
        <v>119255.63864312854</v>
      </c>
      <c r="AM44" s="229">
        <f>AM43+IF(AND(leveraged_property,$B44&lt;=amort_period),PPMT(AM$3/12,$B44,amort_period,loan_amount),0)</f>
        <v>9044641.8314436898</v>
      </c>
      <c r="AN44" s="229">
        <f ca="1">SUM(AL44,Model_Mthly!$AA44,-AM44)</f>
        <v>16377081.07616343</v>
      </c>
      <c r="AO44" s="149">
        <f>SUM(Model_Mthly!$Q44,-IF(AND(leveraged_property,B44&lt;=amort_period),-PMT(AO$3/12,amort_period,loan_amount),0))</f>
        <v>117756.17240895634</v>
      </c>
      <c r="AP44" s="162">
        <f>AP43+IF(AND(leveraged_property,$B44&lt;=amort_period),PPMT(AP$3/12,$B44,amort_period,loan_amount),0)</f>
        <v>9063832.5041867085</v>
      </c>
      <c r="AQ44" s="149">
        <f ca="1">SUM(AO44,Model_Mthly!$AA44,-AP44)</f>
        <v>16356390.937186241</v>
      </c>
      <c r="AR44" s="149">
        <f>SUM(Model_Mthly!$Q44,-IF(AND(leveraged_property,B44&lt;=amort_period),-PMT(AR$3/12,amort_period,loan_amount),0))</f>
        <v>116238.29388158166</v>
      </c>
      <c r="AS44" s="162">
        <f>AS43+IF(AND(leveraged_property,$B44&lt;=amort_period),PPMT(AS$3/12,$B44,amort_period,loan_amount),0)</f>
        <v>9082376.5383337028</v>
      </c>
      <c r="AT44" s="149">
        <f ca="1">SUM(AR44,Model_Mthly!$AA44,-AS44)</f>
        <v>16336329.02451187</v>
      </c>
      <c r="AU44" s="149">
        <f>SUM(Model_Mthly!$Q44,-IF(AND(leveraged_property,B44&lt;=amort_period),-PMT(AU$3/12,amort_period,loan_amount),0))</f>
        <v>114702.45973058637</v>
      </c>
      <c r="AV44" s="162">
        <f>AV43+IF(AND(leveraged_property,$B44&lt;=amort_period),PPMT(AV$3/12,$B44,amort_period,loan_amount),0)</f>
        <v>9100285.3204373214</v>
      </c>
      <c r="AW44" s="149">
        <f ca="1">SUM(AU44,Model_Mthly!$AA44,-AV44)</f>
        <v>16316884.408257259</v>
      </c>
      <c r="AX44" s="103"/>
      <c r="AY44" s="288">
        <f ca="1">IF(AND(leveraged_property,down_payment&gt;0),IRR(($AC$4:AC43,AE44),),"N/A")</f>
        <v>1.6944776429561322E-2</v>
      </c>
      <c r="AZ44" s="288">
        <f ca="1">IF(AND(leveraged_property,down_payment&gt;0),IRR(($AF$4:AF43,AH44),),"N/A")</f>
        <v>1.6807619124817708E-2</v>
      </c>
      <c r="BA44" s="288">
        <f ca="1">IF(AND(leveraged_property,down_payment&gt;0),IRR(($AI$4:AI43,AK44),),"N/A")</f>
        <v>1.6669760800554927E-2</v>
      </c>
      <c r="BB44" s="303">
        <f ca="1">IF(AND(leveraged_property,down_payment&gt;0),IRR(($AL$4:AL43,AN44),),"N/A")</f>
        <v>1.653122814028379E-2</v>
      </c>
      <c r="BC44" s="288">
        <f ca="1">IF(AND(leveraged_property,down_payment&gt;0),IRR(($AO$4:AO43,AQ44),),"N/A")</f>
        <v>1.6392047655867749E-2</v>
      </c>
      <c r="BD44" s="288">
        <f ca="1">IF(AND(leveraged_property,down_payment&gt;0),IRR(($AR$4:AR43,AT44),),"N/A")</f>
        <v>1.6252245633105528E-2</v>
      </c>
      <c r="BE44" s="288">
        <f ca="1">IF(AND(leveraged_property,down_payment&gt;0),IRR(($AU$4:AU43,AW44),),"N/A")</f>
        <v>1.6111848080292184E-2</v>
      </c>
      <c r="BF44" s="103"/>
      <c r="BG44" s="290">
        <f ca="1">IF(AND(leveraged_property,down_payment&gt;0),((1+AY44)^12)-1,"N/A")</f>
        <v>0.22339989445479902</v>
      </c>
      <c r="BH44" s="290">
        <f ca="1">IF(AND(leveraged_property,down_payment&gt;0),((1+AZ44)^12)-1,"N/A")</f>
        <v>0.22142133491076632</v>
      </c>
      <c r="BI44" s="290">
        <f ca="1">IF(AND(leveraged_property,down_payment&gt;0),((1+BA44)^12)-1,"N/A")</f>
        <v>0.21943561894051999</v>
      </c>
      <c r="BJ44" s="305">
        <f ca="1">IF(AND(leveraged_property,down_payment&gt;0),((1+BB44)^12)-1,"N/A")</f>
        <v>0.21744317119715673</v>
      </c>
      <c r="BK44" s="290">
        <f ca="1">IF(AND(leveraged_property,down_payment&gt;0),((1+BC44)^12)-1,"N/A")</f>
        <v>0.21544441167273076</v>
      </c>
      <c r="BL44" s="290">
        <f ca="1">IF(AND(leveraged_property,down_payment&gt;0),((1+BD44)^12)-1,"N/A")</f>
        <v>0.21343975491641398</v>
      </c>
      <c r="BM44" s="290">
        <f ca="1">IF(AND(leveraged_property,down_payment&gt;0),((1+BE44)^12)-1,"N/A")</f>
        <v>0.21142960930378862</v>
      </c>
    </row>
    <row r="45" spans="1:65">
      <c r="A45" s="137">
        <f>Model_Mthly!A45</f>
        <v>41409</v>
      </c>
      <c r="B45" s="138">
        <f>Model_Mthly!B45</f>
        <v>41</v>
      </c>
      <c r="C45" s="223"/>
      <c r="D45" s="139">
        <f>Model_Mthly!AQ45</f>
        <v>114193.75064312853</v>
      </c>
      <c r="E45" s="231">
        <f>IF(OR($H$3&lt;=0.0075,$H$3=""),0,SUM(Model_Mthly!AQ45,(SUM(Model_Mthly!Q46:Q57)/$E$3)*(1-cost_of_sale),-Model_Mthly!V45))</f>
        <v>19391228.361525737</v>
      </c>
      <c r="F45" s="231">
        <f>IF(OR($H$3&lt;=0.0075,$H$3=""),0,SUM(Model_Mthly!AQ45,(SUM(Model_Mthly!Q46:Q57)/$F$3)*(1-cost_of_sale),-Model_Mthly!V45))</f>
        <v>18447588.658339322</v>
      </c>
      <c r="G45" s="231">
        <f>IF(OR($H$3&lt;=0.0075,$H$3=""),0,SUM(Model_Mthly!AQ45,(SUM(Model_Mthly!Q46:Q57)/$G$3)*(1-cost_of_sale),-Model_Mthly!V45))</f>
        <v>17564828.93600364</v>
      </c>
      <c r="H45" s="232">
        <f>IF(OR($H$3&lt;=0.0075,$H$3=""),0,SUM(Model_Mthly!AQ45,(SUM(Model_Mthly!Q46:Q57)/$H$3)*(1-cost_of_sale),-Model_Mthly!V45))</f>
        <v>16737241.696313942</v>
      </c>
      <c r="I45" s="231">
        <f>IF(OR($H$3&lt;=0.0075,$H$3=""),0,SUM(Model_Mthly!AQ45,(SUM(Model_Mthly!Q46:Q57)/$I$3)*(1-cost_of_sale),-Model_Mthly!V45))</f>
        <v>15959811.259029681</v>
      </c>
      <c r="J45" s="231">
        <f>IF(OR($H$3&lt;=0.0075,$H$3=""),0,SUM(Model_Mthly!AQ45,(SUM(Model_Mthly!Q46:Q57)/$J$3)*(1-cost_of_sale),-Model_Mthly!V45))</f>
        <v>15228112.023938606</v>
      </c>
      <c r="K45" s="231">
        <f>IF(OR($H$3&lt;=0.0075,$H$3=""),0,SUM(Model_Mthly!AQ45,(SUM(Model_Mthly!Q46:Q57)/$K$3)*(1-cost_of_sale),-Model_Mthly!V45))</f>
        <v>14538224.173709886</v>
      </c>
      <c r="L45" s="160"/>
      <c r="M45" s="302">
        <f>IF(OR($H$3&lt;=0.0075,$H$3="",down_payment&lt;=0),"N/A",IRR(($D$4:D44,E45),))</f>
        <v>1.9989803233717796E-2</v>
      </c>
      <c r="N45" s="288">
        <f>IF(OR($H$3&lt;=0.0075,$H$3="",down_payment&lt;=0),"N/A",IRR(($D$4:D44,F45),))</f>
        <v>1.8903943824500988E-2</v>
      </c>
      <c r="O45" s="288">
        <f>IF(OR($H$3&lt;=0.0075,$H$3="",down_payment&lt;=0),"N/A",IRR(($D$4:D44,G45),))</f>
        <v>1.7842312791087209E-2</v>
      </c>
      <c r="P45" s="303">
        <f>IF(OR($H$3&lt;=0.0075,$H$3="",down_payment&lt;=0),"N/A",IRR(($D$4:D44,H45),))</f>
        <v>1.6803035193365169E-2</v>
      </c>
      <c r="Q45" s="288">
        <f>IF(OR($H$3&lt;=0.0075,$H$3="",down_payment&lt;=0),"N/A",IRR(($D$4:D44,I45),))</f>
        <v>1.5784398644073244E-2</v>
      </c>
      <c r="R45" s="288">
        <f>IF(OR($H$3&lt;=0.0075,$H$3="",down_payment&lt;=0),"N/A",IRR(($D$4:D44,J45),))</f>
        <v>1.4784833085433938E-2</v>
      </c>
      <c r="S45" s="288">
        <f>IF(OR($H$3&lt;=0.0075,$H$3="",down_payment&lt;=0),"N/A",IRR(($D$4:D44,K45),))</f>
        <v>1.3802893468865349E-2</v>
      </c>
      <c r="T45" s="233"/>
      <c r="U45" s="304">
        <f t="shared" si="11"/>
        <v>0.26808966216066876</v>
      </c>
      <c r="V45" s="304">
        <f t="shared" si="12"/>
        <v>0.2519844042282906</v>
      </c>
      <c r="W45" s="304">
        <f t="shared" si="13"/>
        <v>0.23641997292956329</v>
      </c>
      <c r="X45" s="305">
        <f t="shared" si="14"/>
        <v>0.2213552601952018</v>
      </c>
      <c r="Y45" s="304">
        <f t="shared" si="15"/>
        <v>0.20675319956010063</v>
      </c>
      <c r="Z45" s="304">
        <f t="shared" si="16"/>
        <v>0.19258024743205704</v>
      </c>
      <c r="AA45" s="304">
        <f t="shared" si="17"/>
        <v>0.17880594321029664</v>
      </c>
      <c r="AB45" s="103"/>
      <c r="AC45" s="149">
        <f>SUM(Model_Mthly!$Q45,-IF(AND(leveraged_property,B45&lt;=amort_period),-PMT(AC$3/12,amort_period,loan_amount),0))</f>
        <v>118577.20880329763</v>
      </c>
      <c r="AD45" s="149">
        <f>AD44+IF(AND(leveraged_property,$B45&lt;=amort_period),PPMT(AD$3/12,$B45,amort_period,loan_amount),0)</f>
        <v>8969085.5225816835</v>
      </c>
      <c r="AE45" s="149">
        <f ca="1">SUM(AC45,Model_Mthly!$AA45,-AD45)</f>
        <v>16804696.116602264</v>
      </c>
      <c r="AF45" s="149">
        <f>SUM(Model_Mthly!$Q45,-IF(AND(leveraged_property,B45&lt;=amort_period),-PMT(AF$3/12,amort_period,loan_amount),0))</f>
        <v>117135.65158494063</v>
      </c>
      <c r="AG45" s="149">
        <f>AG44+IF(AND(leveraged_property,$B45&lt;=amort_period),PPMT(AG$3/12,$B45,amort_period,loan_amount),0)</f>
        <v>8990797.3681927677</v>
      </c>
      <c r="AH45" s="149">
        <f ca="1">SUM(AF45,Model_Mthly!$AA45,-AG45)</f>
        <v>16781542.713772826</v>
      </c>
      <c r="AI45" s="149">
        <f>SUM(Model_Mthly!$Q45,-IF(AND(leveraged_property,B45&lt;=amort_period),-PMT(AI$3/12,amort_period,loan_amount),0))</f>
        <v>115674.35406761392</v>
      </c>
      <c r="AJ45" s="149">
        <f>AJ44+IF(AND(leveraged_property,$B45&lt;=amort_period),PPMT(AJ$3/12,$B45,amort_period,loan_amount),0)</f>
        <v>9011817.7598551475</v>
      </c>
      <c r="AK45" s="149">
        <f ca="1">SUM(AI45,Model_Mthly!$AA45,-AJ45)</f>
        <v>16759061.024593119</v>
      </c>
      <c r="AL45" s="229">
        <f>SUM(Model_Mthly!$Q45,-IF(AND(leveraged_property,B45&lt;=amort_period),-PMT(AL$3/12,amort_period,loan_amount),0))</f>
        <v>114193.75064312853</v>
      </c>
      <c r="AM45" s="229">
        <f>AM44+IF(AND(leveraged_property,$B45&lt;=amort_period),PPMT(AM$3/12,$B45,amort_period,loan_amount),0)</f>
        <v>9032156.4847098421</v>
      </c>
      <c r="AN45" s="229">
        <f ca="1">SUM(AL45,Model_Mthly!$AA45,-AM45)</f>
        <v>16737241.696313942</v>
      </c>
      <c r="AO45" s="149">
        <f>SUM(Model_Mthly!$Q45,-IF(AND(leveraged_property,B45&lt;=amort_period),-PMT(AO$3/12,amort_period,loan_amount),0))</f>
        <v>112694.28440895633</v>
      </c>
      <c r="AP45" s="162">
        <f>AP44+IF(AND(leveraged_property,$B45&lt;=amort_period),PPMT(AP$3/12,$B45,amort_period,loan_amount),0)</f>
        <v>9051823.9469071329</v>
      </c>
      <c r="AQ45" s="149">
        <f ca="1">SUM(AO45,Model_Mthly!$AA45,-AP45)</f>
        <v>16716074.767882477</v>
      </c>
      <c r="AR45" s="149">
        <f>SUM(Model_Mthly!$Q45,-IF(AND(leveraged_property,B45&lt;=amort_period),-PMT(AR$3/12,amort_period,loan_amount),0))</f>
        <v>111176.40588158165</v>
      </c>
      <c r="AS45" s="162">
        <f>AS44+IF(AND(leveraged_property,$B45&lt;=amort_period),PPMT(AS$3/12,$B45,amort_period,loan_amount),0)</f>
        <v>9070831.1211358588</v>
      </c>
      <c r="AT45" s="149">
        <f ca="1">SUM(AR45,Model_Mthly!$AA45,-AS45)</f>
        <v>16695549.715126375</v>
      </c>
      <c r="AU45" s="149">
        <f>SUM(Model_Mthly!$Q45,-IF(AND(leveraged_property,B45&lt;=amort_period),-PMT(AU$3/12,amort_period,loan_amount),0))</f>
        <v>109640.57173058637</v>
      </c>
      <c r="AV45" s="162">
        <f>AV44+IF(AND(leveraged_property,$B45&lt;=amort_period),PPMT(AV$3/12,$B45,amort_period,loan_amount),0)</f>
        <v>9089189.5057740919</v>
      </c>
      <c r="AW45" s="149">
        <f ca="1">SUM(AU45,Model_Mthly!$AA45,-AV45)</f>
        <v>16675655.496337149</v>
      </c>
      <c r="AX45" s="103"/>
      <c r="AY45" s="288">
        <f ca="1">IF(AND(leveraged_property,down_payment&gt;0),IRR(($AC$4:AC44,AE45),),"N/A")</f>
        <v>1.7211554346470228E-2</v>
      </c>
      <c r="AZ45" s="288">
        <f ca="1">IF(AND(leveraged_property,down_payment&gt;0),IRR(($AF$4:AF44,AH45),),"N/A")</f>
        <v>1.7076081550430732E-2</v>
      </c>
      <c r="BA45" s="288">
        <f ca="1">IF(AND(leveraged_property,down_payment&gt;0),IRR(($AI$4:AI44,AK45),),"N/A")</f>
        <v>1.6939899539342353E-2</v>
      </c>
      <c r="BB45" s="303">
        <f ca="1">IF(AND(leveraged_property,down_payment&gt;0),IRR(($AL$4:AL44,AN45),),"N/A")</f>
        <v>1.6803035193365169E-2</v>
      </c>
      <c r="BC45" s="288">
        <f ca="1">IF(AND(leveraged_property,down_payment&gt;0),IRR(($AO$4:AO44,AQ45),),"N/A")</f>
        <v>1.6665515231447769E-2</v>
      </c>
      <c r="BD45" s="288">
        <f ca="1">IF(AND(leveraged_property,down_payment&gt;0),IRR(($AR$4:AR44,AT45),),"N/A")</f>
        <v>1.652736615598999E-2</v>
      </c>
      <c r="BE45" s="288">
        <f ca="1">IF(AND(leveraged_property,down_payment&gt;0),IRR(($AU$4:AU44,AW45),),"N/A")</f>
        <v>1.6388614200477315E-2</v>
      </c>
      <c r="BF45" s="103"/>
      <c r="BG45" s="290">
        <f ca="1">IF(AND(leveraged_property,down_payment&gt;0),((1+AY45)^12)-1,"N/A")</f>
        <v>0.22725671028451888</v>
      </c>
      <c r="BH45" s="290">
        <f ca="1">IF(AND(leveraged_property,down_payment&gt;0),((1+AZ45)^12)-1,"N/A")</f>
        <v>0.22529678562041422</v>
      </c>
      <c r="BI45" s="290">
        <f ca="1">IF(AND(leveraged_property,down_payment&gt;0),((1+BA45)^12)-1,"N/A")</f>
        <v>0.22332949264242075</v>
      </c>
      <c r="BJ45" s="305">
        <f ca="1">IF(AND(leveraged_property,down_payment&gt;0),((1+BB45)^12)-1,"N/A")</f>
        <v>0.2213552601952018</v>
      </c>
      <c r="BK45" s="290">
        <f ca="1">IF(AND(leveraged_property,down_payment&gt;0),((1+BC45)^12)-1,"N/A")</f>
        <v>0.21937451261690133</v>
      </c>
      <c r="BL45" s="290">
        <f ca="1">IF(AND(leveraged_property,down_payment&gt;0),((1+BD45)^12)-1,"N/A")</f>
        <v>0.2173876689396943</v>
      </c>
      <c r="BM45" s="290">
        <f ca="1">IF(AND(leveraged_property,down_payment&gt;0),((1+BE45)^12)-1,"N/A")</f>
        <v>0.21539514214164113</v>
      </c>
    </row>
    <row r="46" spans="1:65">
      <c r="A46" s="137">
        <f>Model_Mthly!A46</f>
        <v>41440</v>
      </c>
      <c r="B46" s="138">
        <f>Model_Mthly!B46</f>
        <v>42</v>
      </c>
      <c r="C46" s="223"/>
      <c r="D46" s="139">
        <f>Model_Mthly!AQ46</f>
        <v>106238.16408062851</v>
      </c>
      <c r="E46" s="231">
        <f>IF(OR($H$3&lt;=0.0075,$H$3=""),0,SUM(Model_Mthly!AQ46,(SUM(Model_Mthly!Q47:Q58)/$E$3)*(1-cost_of_sale),-Model_Mthly!V46))</f>
        <v>19782983.457707547</v>
      </c>
      <c r="F46" s="231">
        <f>IF(OR($H$3&lt;=0.0075,$H$3=""),0,SUM(Model_Mthly!AQ46,(SUM(Model_Mthly!Q47:Q58)/$F$3)*(1-cost_of_sale),-Model_Mthly!V46))</f>
        <v>18826438.150804315</v>
      </c>
      <c r="G46" s="231">
        <f>IF(OR($H$3&lt;=0.0075,$H$3=""),0,SUM(Model_Mthly!AQ46,(SUM(Model_Mthly!Q47:Q58)/$G$3)*(1-cost_of_sale),-Model_Mthly!V46))</f>
        <v>17931605.444346447</v>
      </c>
      <c r="H46" s="232">
        <f>IF(OR($H$3&lt;=0.0075,$H$3=""),0,SUM(Model_Mthly!AQ46,(SUM(Model_Mthly!Q47:Q58)/$H$3)*(1-cost_of_sale),-Model_Mthly!V46))</f>
        <v>17092699.782042198</v>
      </c>
      <c r="I46" s="231">
        <f>IF(OR($H$3&lt;=0.0075,$H$3=""),0,SUM(Model_Mthly!AQ46,(SUM(Model_Mthly!Q47:Q58)/$I$3)*(1-cost_of_sale),-Model_Mthly!V46))</f>
        <v>16304636.887150329</v>
      </c>
      <c r="J46" s="231">
        <f>IF(OR($H$3&lt;=0.0075,$H$3=""),0,SUM(Model_Mthly!AQ46,(SUM(Model_Mthly!Q47:Q58)/$J$3)*(1-cost_of_sale),-Model_Mthly!V46))</f>
        <v>15562930.633134447</v>
      </c>
      <c r="K46" s="231">
        <f>IF(OR($H$3&lt;=0.0075,$H$3=""),0,SUM(Model_Mthly!AQ46,(SUM(Model_Mthly!Q47:Q58)/$K$3)*(1-cost_of_sale),-Model_Mthly!V46))</f>
        <v>14863607.593633763</v>
      </c>
      <c r="L46" s="160"/>
      <c r="M46" s="302">
        <f>IF(OR($H$3&lt;=0.0075,$H$3="",down_payment&lt;=0),"N/A",IRR(($D$4:D45,E46),))</f>
        <v>2.0119750637261385E-2</v>
      </c>
      <c r="N46" s="288">
        <f>IF(OR($H$3&lt;=0.0075,$H$3="",down_payment&lt;=0),"N/A",IRR(($D$4:D45,F46),))</f>
        <v>1.9069021760158084E-2</v>
      </c>
      <c r="O46" s="288">
        <f>IF(OR($H$3&lt;=0.0075,$H$3="",down_payment&lt;=0),"N/A",IRR(($D$4:D45,G46),))</f>
        <v>1.8042083728681966E-2</v>
      </c>
      <c r="P46" s="303">
        <f>IF(OR($H$3&lt;=0.0075,$H$3="",down_payment&lt;=0),"N/A",IRR(($D$4:D45,H46),))</f>
        <v>1.7037116728708408E-2</v>
      </c>
      <c r="Q46" s="288">
        <f>IF(OR($H$3&lt;=0.0075,$H$3="",down_payment&lt;=0),"N/A",IRR(($D$4:D45,I46),))</f>
        <v>1.6052459710366101E-2</v>
      </c>
      <c r="R46" s="288">
        <f>IF(OR($H$3&lt;=0.0075,$H$3="",down_payment&lt;=0),"N/A",IRR(($D$4:D45,J46),))</f>
        <v>1.5086590711503622E-2</v>
      </c>
      <c r="S46" s="288">
        <f>IF(OR($H$3&lt;=0.0075,$H$3="",down_payment&lt;=0),"N/A",IRR(($D$4:D45,K46),))</f>
        <v>1.413811001164432E-2</v>
      </c>
      <c r="T46" s="233"/>
      <c r="U46" s="304">
        <f t="shared" si="11"/>
        <v>0.27002968712596909</v>
      </c>
      <c r="V46" s="304">
        <f t="shared" si="12"/>
        <v>0.25442066055711554</v>
      </c>
      <c r="W46" s="304">
        <f t="shared" si="13"/>
        <v>0.23933517007941729</v>
      </c>
      <c r="X46" s="305">
        <f t="shared" si="14"/>
        <v>0.22473360165013112</v>
      </c>
      <c r="Y46" s="304">
        <f t="shared" si="15"/>
        <v>0.21058023382688673</v>
      </c>
      <c r="Z46" s="304">
        <f t="shared" si="16"/>
        <v>0.19684273917492523</v>
      </c>
      <c r="AA46" s="304">
        <f t="shared" si="17"/>
        <v>0.18349176140812928</v>
      </c>
      <c r="AB46" s="103"/>
      <c r="AC46" s="149">
        <f>SUM(Model_Mthly!$Q46,-IF(AND(leveraged_property,B46&lt;=amort_period),-PMT(AC$3/12,amort_period,loan_amount),0))</f>
        <v>110621.62224079762</v>
      </c>
      <c r="AD46" s="149">
        <f>AD45+IF(AND(leveraged_property,$B46&lt;=amort_period),PPMT(AD$3/12,$B46,amort_period,loan_amount),0)</f>
        <v>8955031.6558074392</v>
      </c>
      <c r="AE46" s="149">
        <f ca="1">SUM(AC46,Model_Mthly!$AA46,-AD46)</f>
        <v>17161665.497865058</v>
      </c>
      <c r="AF46" s="149">
        <f>SUM(Model_Mthly!$Q46,-IF(AND(leveraged_property,B46&lt;=amort_period),-PMT(AF$3/12,amort_period,loan_amount),0))</f>
        <v>109180.06502244061</v>
      </c>
      <c r="AG46" s="149">
        <f>AG45+IF(AND(leveraged_property,$B46&lt;=amort_period),PPMT(AG$3/12,$B46,amort_period,loan_amount),0)</f>
        <v>8977260.9697074182</v>
      </c>
      <c r="AH46" s="149">
        <f ca="1">SUM(AF46,Model_Mthly!$AA46,-AG46)</f>
        <v>17137994.626746722</v>
      </c>
      <c r="AI46" s="149">
        <f>SUM(Model_Mthly!$Q46,-IF(AND(leveraged_property,B46&lt;=amort_period),-PMT(AI$3/12,amort_period,loan_amount),0))</f>
        <v>107718.76750511391</v>
      </c>
      <c r="AJ46" s="149">
        <f>AJ45+IF(AND(leveraged_property,$B46&lt;=amort_period),PPMT(AJ$3/12,$B46,amort_period,loan_amount),0)</f>
        <v>8998785.1108510345</v>
      </c>
      <c r="AK46" s="149">
        <f ca="1">SUM(AI46,Model_Mthly!$AA46,-AJ46)</f>
        <v>17115009.18808578</v>
      </c>
      <c r="AL46" s="229">
        <f>SUM(Model_Mthly!$Q46,-IF(AND(leveraged_property,B46&lt;=amort_period),-PMT(AL$3/12,amort_period,loan_amount),0))</f>
        <v>106238.16408062851</v>
      </c>
      <c r="AM46" s="229">
        <f>AM45+IF(AND(leveraged_property,$B46&lt;=amort_period),PPMT(AM$3/12,$B46,amort_period,loan_amount),0)</f>
        <v>9019613.9134701304</v>
      </c>
      <c r="AN46" s="229">
        <f ca="1">SUM(AL46,Model_Mthly!$AA46,-AM46)</f>
        <v>17092699.782042198</v>
      </c>
      <c r="AO46" s="149">
        <f>SUM(Model_Mthly!$Q46,-IF(AND(leveraged_property,B46&lt;=amort_period),-PMT(AO$3/12,amort_period,loan_amount),0))</f>
        <v>104738.69784645631</v>
      </c>
      <c r="AP46" s="162">
        <f>AP45+IF(AND(leveraged_property,$B46&lt;=amort_period),PPMT(AP$3/12,$B46,amort_period,loan_amount),0)</f>
        <v>9039757.8486239258</v>
      </c>
      <c r="AQ46" s="149">
        <f ca="1">SUM(AO46,Model_Mthly!$AA46,-AP46)</f>
        <v>17071056.380654231</v>
      </c>
      <c r="AR46" s="149">
        <f>SUM(Model_Mthly!$Q46,-IF(AND(leveraged_property,B46&lt;=amort_period),-PMT(AR$3/12,amort_period,loan_amount),0))</f>
        <v>103220.81931908164</v>
      </c>
      <c r="AS46" s="162">
        <f>AS45+IF(AND(leveraged_property,$B46&lt;=amort_period),PPMT(AS$3/12,$B46,amort_period,loan_amount),0)</f>
        <v>9059227.9768520258</v>
      </c>
      <c r="AT46" s="149">
        <f ca="1">SUM(AR46,Model_Mthly!$AA46,-AS46)</f>
        <v>17050068.373898756</v>
      </c>
      <c r="AU46" s="149">
        <f>SUM(Model_Mthly!$Q46,-IF(AND(leveraged_property,B46&lt;=amort_period),-PMT(AU$3/12,amort_period,loan_amount),0))</f>
        <v>101684.98516808635</v>
      </c>
      <c r="AV46" s="162">
        <f>AV45+IF(AND(leveraged_property,$B46&lt;=amort_period),PPMT(AV$3/12,$B46,amort_period,loan_amount),0)</f>
        <v>9078035.9004094917</v>
      </c>
      <c r="AW46" s="149">
        <f ca="1">SUM(AU46,Model_Mthly!$AA46,-AV46)</f>
        <v>17029724.616190292</v>
      </c>
      <c r="AX46" s="103"/>
      <c r="AY46" s="288">
        <f ca="1">IF(AND(leveraged_property,down_payment&gt;0),IRR(($AC$4:AC45,AE46),),"N/A")</f>
        <v>1.7440929024308407E-2</v>
      </c>
      <c r="AZ46" s="288">
        <f ca="1">IF(AND(leveraged_property,down_payment&gt;0),IRR(($AF$4:AF45,AH46),),"N/A")</f>
        <v>1.730703287455234E-2</v>
      </c>
      <c r="BA46" s="288">
        <f ca="1">IF(AND(leveraged_property,down_payment&gt;0),IRR(($AI$4:AI45,AK46),),"N/A")</f>
        <v>1.7172419752173179E-2</v>
      </c>
      <c r="BB46" s="303">
        <f ca="1">IF(AND(leveraged_property,down_payment&gt;0),IRR(($AL$4:AL45,AN46),),"N/A")</f>
        <v>1.7037116728708408E-2</v>
      </c>
      <c r="BC46" s="288">
        <f ca="1">IF(AND(leveraged_property,down_payment&gt;0),IRR(($AO$4:AO45,AQ46),),"N/A")</f>
        <v>1.6901150724301702E-2</v>
      </c>
      <c r="BD46" s="288">
        <f ca="1">IF(AND(leveraged_property,down_payment&gt;0),IRR(($AR$4:AR45,AT46),),"N/A")</f>
        <v>1.6764548451477793E-2</v>
      </c>
      <c r="BE46" s="288">
        <f ca="1">IF(AND(leveraged_property,down_payment&gt;0),IRR(($AU$4:AU45,AW46),),"N/A")</f>
        <v>1.6627336361893508E-2</v>
      </c>
      <c r="BF46" s="103"/>
      <c r="BG46" s="290">
        <f ca="1">IF(AND(leveraged_property,down_payment&gt;0),((1+AY46)^12)-1,"N/A")</f>
        <v>0.23058169411504315</v>
      </c>
      <c r="BH46" s="290">
        <f ca="1">IF(AND(leveraged_property,down_payment&gt;0),((1+AZ46)^12)-1,"N/A")</f>
        <v>0.22863975208835297</v>
      </c>
      <c r="BI46" s="290">
        <f ca="1">IF(AND(leveraged_property,down_payment&gt;0),((1+BA46)^12)-1,"N/A")</f>
        <v>0.22669024367055846</v>
      </c>
      <c r="BJ46" s="305">
        <f ca="1">IF(AND(leveraged_property,down_payment&gt;0),((1+BB46)^12)-1,"N/A")</f>
        <v>0.22473360165013112</v>
      </c>
      <c r="BK46" s="290">
        <f ca="1">IF(AND(leveraged_property,down_payment&gt;0),((1+BC46)^12)-1,"N/A")</f>
        <v>0.22277025445602106</v>
      </c>
      <c r="BL46" s="290">
        <f ca="1">IF(AND(leveraged_property,down_payment&gt;0),((1+BD46)^12)-1,"N/A")</f>
        <v>0.22080062534145894</v>
      </c>
      <c r="BM46" s="290">
        <f ca="1">IF(AND(leveraged_property,down_payment&gt;0),((1+BE46)^12)-1,"N/A")</f>
        <v>0.21882513161931127</v>
      </c>
    </row>
    <row r="47" spans="1:65">
      <c r="A47" s="137">
        <f>Model_Mthly!A47</f>
        <v>41470</v>
      </c>
      <c r="B47" s="138">
        <f>Model_Mthly!B47</f>
        <v>43</v>
      </c>
      <c r="C47" s="223"/>
      <c r="D47" s="139">
        <f>Model_Mthly!AQ47</f>
        <v>105686.47866910402</v>
      </c>
      <c r="E47" s="231">
        <f>IF(OR($H$3&lt;=0.0075,$H$3=""),0,SUM(Model_Mthly!AQ47,(SUM(Model_Mthly!Q48:Q59)/$E$3)*(1-cost_of_sale),-Model_Mthly!V47))</f>
        <v>20176752.559931986</v>
      </c>
      <c r="F47" s="231">
        <f>IF(OR($H$3&lt;=0.0075,$H$3=""),0,SUM(Model_Mthly!AQ47,(SUM(Model_Mthly!Q48:Q59)/$F$3)*(1-cost_of_sale),-Model_Mthly!V47))</f>
        <v>19207483.228708372</v>
      </c>
      <c r="G47" s="231">
        <f>IF(OR($H$3&lt;=0.0075,$H$3=""),0,SUM(Model_Mthly!AQ47,(SUM(Model_Mthly!Q48:Q59)/$G$3)*(1-cost_of_sale),-Model_Mthly!V47))</f>
        <v>18300747.402724989</v>
      </c>
      <c r="H47" s="232">
        <f>IF(OR($H$3&lt;=0.0075,$H$3=""),0,SUM(Model_Mthly!AQ47,(SUM(Model_Mthly!Q48:Q59)/$H$3)*(1-cost_of_sale),-Model_Mthly!V47))</f>
        <v>17450682.565865569</v>
      </c>
      <c r="I47" s="231">
        <f>IF(OR($H$3&lt;=0.0075,$H$3=""),0,SUM(Model_Mthly!AQ47,(SUM(Model_Mthly!Q48:Q59)/$I$3)*(1-cost_of_sale),-Model_Mthly!V47))</f>
        <v>16652136.810027929</v>
      </c>
      <c r="J47" s="231">
        <f>IF(OR($H$3&lt;=0.0075,$H$3=""),0,SUM(Model_Mthly!AQ47,(SUM(Model_Mthly!Q48:Q59)/$J$3)*(1-cost_of_sale),-Model_Mthly!V47))</f>
        <v>15900564.333945448</v>
      </c>
      <c r="K47" s="231">
        <f>IF(OR($H$3&lt;=0.0075,$H$3=""),0,SUM(Model_Mthly!AQ47,(SUM(Model_Mthly!Q48:Q59)/$K$3)*(1-cost_of_sale),-Model_Mthly!V47))</f>
        <v>15191938.856496247</v>
      </c>
      <c r="L47" s="160"/>
      <c r="M47" s="302">
        <f>IF(OR($H$3&lt;=0.0075,$H$3="",down_payment&lt;=0),"N/A",IRR(($D$4:D46,E47),))</f>
        <v>2.0226944498919125E-2</v>
      </c>
      <c r="N47" s="288">
        <f>IF(OR($H$3&lt;=0.0075,$H$3="",down_payment&lt;=0),"N/A",IRR(($D$4:D46,F47),))</f>
        <v>1.9209306321009825E-2</v>
      </c>
      <c r="O47" s="288">
        <f>IF(OR($H$3&lt;=0.0075,$H$3="",down_payment&lt;=0),"N/A",IRR(($D$4:D46,G47),))</f>
        <v>1.8215028676410783E-2</v>
      </c>
      <c r="P47" s="303">
        <f>IF(OR($H$3&lt;=0.0075,$H$3="",down_payment&lt;=0),"N/A",IRR(($D$4:D46,H47),))</f>
        <v>1.7242343499101673E-2</v>
      </c>
      <c r="Q47" s="288">
        <f>IF(OR($H$3&lt;=0.0075,$H$3="",down_payment&lt;=0),"N/A",IRR(($D$4:D46,I47),))</f>
        <v>1.6289637835233923E-2</v>
      </c>
      <c r="R47" s="288">
        <f>IF(OR($H$3&lt;=0.0075,$H$3="",down_payment&lt;=0),"N/A",IRR(($D$4:D46,J47),))</f>
        <v>1.535543468286025E-2</v>
      </c>
      <c r="S47" s="288">
        <f>IF(OR($H$3&lt;=0.0075,$H$3="",down_payment&lt;=0),"N/A",IRR(($D$4:D46,K47),))</f>
        <v>1.4438376592722185E-2</v>
      </c>
      <c r="T47" s="233"/>
      <c r="U47" s="304">
        <f t="shared" si="11"/>
        <v>0.27163206481808877</v>
      </c>
      <c r="V47" s="304">
        <f t="shared" si="12"/>
        <v>0.25649442567047465</v>
      </c>
      <c r="W47" s="304">
        <f t="shared" si="13"/>
        <v>0.24186399048603158</v>
      </c>
      <c r="X47" s="305">
        <f t="shared" si="14"/>
        <v>0.22770254657219202</v>
      </c>
      <c r="Y47" s="304">
        <f t="shared" si="15"/>
        <v>0.21397563409007003</v>
      </c>
      <c r="Z47" s="304">
        <f t="shared" si="16"/>
        <v>0.20065206627579113</v>
      </c>
      <c r="AA47" s="304">
        <f t="shared" si="17"/>
        <v>0.18770352248550437</v>
      </c>
      <c r="AB47" s="103"/>
      <c r="AC47" s="149">
        <f>SUM(Model_Mthly!$Q47,-IF(AND(leveraged_property,B47&lt;=amort_period),-PMT(AC$3/12,amort_period,loan_amount),0))</f>
        <v>110069.93682927312</v>
      </c>
      <c r="AD47" s="149">
        <f>AD46+IF(AND(leveraged_property,$B47&lt;=amort_period),PPMT(AD$3/12,$B47,amort_period,loan_amount),0)</f>
        <v>8940922.1591438819</v>
      </c>
      <c r="AE47" s="149">
        <f ca="1">SUM(AC47,Model_Mthly!$AA47,-AD47)</f>
        <v>17521157.720327422</v>
      </c>
      <c r="AF47" s="149">
        <f>SUM(Model_Mthly!$Q47,-IF(AND(leveraged_property,B47&lt;=amort_period),-PMT(AF$3/12,amort_period,loan_amount),0))</f>
        <v>108628.37961091612</v>
      </c>
      <c r="AG47" s="149">
        <f>AG46+IF(AND(leveraged_property,$B47&lt;=amort_period),PPMT(AG$3/12,$B47,amort_period,loan_amount),0)</f>
        <v>8963668.1695617121</v>
      </c>
      <c r="AH47" s="149">
        <f ca="1">SUM(AF47,Model_Mthly!$AA47,-AG47)</f>
        <v>17496970.152691238</v>
      </c>
      <c r="AI47" s="149">
        <f>SUM(Model_Mthly!$Q47,-IF(AND(leveraged_property,B47&lt;=amort_period),-PMT(AI$3/12,amort_period,loan_amount),0))</f>
        <v>107167.08209358942</v>
      </c>
      <c r="AJ47" s="149">
        <f>AJ46+IF(AND(leveraged_property,$B47&lt;=amort_period),PPMT(AJ$3/12,$B47,amort_period,loan_amount),0)</f>
        <v>8985695.4440075271</v>
      </c>
      <c r="AK47" s="149">
        <f ca="1">SUM(AI47,Model_Mthly!$AA47,-AJ47)</f>
        <v>17473481.580728095</v>
      </c>
      <c r="AL47" s="229">
        <f>SUM(Model_Mthly!$Q47,-IF(AND(leveraged_property,B47&lt;=amort_period),-PMT(AL$3/12,amort_period,loan_amount),0))</f>
        <v>105686.47866910402</v>
      </c>
      <c r="AM47" s="229">
        <f>AM46+IF(AND(leveraged_property,$B47&lt;=amort_period),PPMT(AM$3/12,$B47,amort_period,loan_amount),0)</f>
        <v>9007013.8554455694</v>
      </c>
      <c r="AN47" s="229">
        <f ca="1">SUM(AL47,Model_Mthly!$AA47,-AM47)</f>
        <v>17450682.565865569</v>
      </c>
      <c r="AO47" s="149">
        <f>SUM(Model_Mthly!$Q47,-IF(AND(leveraged_property,B47&lt;=amort_period),-PMT(AO$3/12,amort_period,loan_amount),0))</f>
        <v>104187.01243493182</v>
      </c>
      <c r="AP47" s="162">
        <f>AP46+IF(AND(leveraged_property,$B47&lt;=amort_period),PPMT(AP$3/12,$B47,amort_period,loan_amount),0)</f>
        <v>9027633.9336197786</v>
      </c>
      <c r="AQ47" s="149">
        <f ca="1">SUM(AO47,Model_Mthly!$AA47,-AP47)</f>
        <v>17428563.021457188</v>
      </c>
      <c r="AR47" s="149">
        <f>SUM(Model_Mthly!$Q47,-IF(AND(leveraged_property,B47&lt;=amort_period),-PMT(AR$3/12,amort_period,loan_amount),0))</f>
        <v>102669.13390755714</v>
      </c>
      <c r="AS47" s="162">
        <f>AS46+IF(AND(leveraged_property,$B47&lt;=amort_period),PPMT(AS$3/12,$B47,amort_period,loan_amount),0)</f>
        <v>9047566.816846773</v>
      </c>
      <c r="AT47" s="149">
        <f ca="1">SUM(AR47,Model_Mthly!$AA47,-AS47)</f>
        <v>17407112.259702817</v>
      </c>
      <c r="AU47" s="149">
        <f>SUM(Model_Mthly!$Q47,-IF(AND(leveraged_property,B47&lt;=amort_period),-PMT(AU$3/12,amort_period,loan_amount),0))</f>
        <v>101133.29975656186</v>
      </c>
      <c r="AV47" s="162">
        <f>AV46+IF(AND(leveraged_property,$B47&lt;=amort_period),PPMT(AV$3/12,$B47,amort_period,loan_amount),0)</f>
        <v>9066824.2033502832</v>
      </c>
      <c r="AW47" s="149">
        <f ca="1">SUM(AU47,Model_Mthly!$AA47,-AV47)</f>
        <v>17386319.03904831</v>
      </c>
      <c r="AX47" s="103"/>
      <c r="AY47" s="288">
        <f ca="1">IF(AND(leveraged_property,down_payment&gt;0),IRR(($AC$4:AC46,AE47),),"N/A")</f>
        <v>1.7641694171706024E-2</v>
      </c>
      <c r="AZ47" s="288">
        <f ca="1">IF(AND(leveraged_property,down_payment&gt;0),IRR(($AF$4:AF46,AH47),),"N/A")</f>
        <v>1.7509292489243832E-2</v>
      </c>
      <c r="BA47" s="288">
        <f ca="1">IF(AND(leveraged_property,down_payment&gt;0),IRR(($AI$4:AI46,AK47),),"N/A")</f>
        <v>1.7376166513073079E-2</v>
      </c>
      <c r="BB47" s="303">
        <f ca="1">IF(AND(leveraged_property,down_payment&gt;0),IRR(($AL$4:AL46,AN47),),"N/A")</f>
        <v>1.7242343499101673E-2</v>
      </c>
      <c r="BC47" s="288">
        <f ca="1">IF(AND(leveraged_property,down_payment&gt;0),IRR(($AO$4:AO46,AQ47),),"N/A")</f>
        <v>1.710785056118504E-2</v>
      </c>
      <c r="BD47" s="288">
        <f ca="1">IF(AND(leveraged_property,down_payment&gt;0),IRR(($AR$4:AR46,AT47),),"N/A")</f>
        <v>1.6972714614053933E-2</v>
      </c>
      <c r="BE47" s="288">
        <f ca="1">IF(AND(leveraged_property,down_payment&gt;0),IRR(($AU$4:AU46,AW47),),"N/A")</f>
        <v>1.683696231921154E-2</v>
      </c>
      <c r="BF47" s="103"/>
      <c r="BG47" s="290">
        <f ca="1">IF(AND(leveraged_property,down_payment&gt;0),((1+AY47)^12)-1,"N/A")</f>
        <v>0.23349873287302736</v>
      </c>
      <c r="BH47" s="290">
        <f ca="1">IF(AND(leveraged_property,down_payment&gt;0),((1+AZ47)^12)-1,"N/A")</f>
        <v>0.23157427763441696</v>
      </c>
      <c r="BI47" s="290">
        <f ca="1">IF(AND(leveraged_property,down_payment&gt;0),((1+BA47)^12)-1,"N/A")</f>
        <v>0.22964207003684756</v>
      </c>
      <c r="BJ47" s="305">
        <f ca="1">IF(AND(leveraged_property,down_payment&gt;0),((1+BB47)^12)-1,"N/A")</f>
        <v>0.22770254657219202</v>
      </c>
      <c r="BK47" s="290">
        <f ca="1">IF(AND(leveraged_property,down_payment&gt;0),((1+BC47)^12)-1,"N/A")</f>
        <v>0.22575613951425044</v>
      </c>
      <c r="BL47" s="290">
        <f ca="1">IF(AND(leveraged_property,down_payment&gt;0),((1+BD47)^12)-1,"N/A")</f>
        <v>0.22380327608668282</v>
      </c>
      <c r="BM47" s="290">
        <f ca="1">IF(AND(leveraged_property,down_payment&gt;0),((1+BE47)^12)-1,"N/A")</f>
        <v>0.2218443776825656</v>
      </c>
    </row>
    <row r="48" spans="1:65">
      <c r="A48" s="137">
        <f>Model_Mthly!A48</f>
        <v>41501</v>
      </c>
      <c r="B48" s="138">
        <f>Model_Mthly!B48</f>
        <v>44</v>
      </c>
      <c r="C48" s="223"/>
      <c r="D48" s="139">
        <f>Model_Mthly!AQ48</f>
        <v>119255.63864312854</v>
      </c>
      <c r="E48" s="231">
        <f>IF(OR($H$3&lt;=0.0075,$H$3=""),0,SUM(Model_Mthly!AQ48,(SUM(Model_Mthly!Q49:Q60)/$E$3)*(1-cost_of_sale),-Model_Mthly!V48))</f>
        <v>20594887.795955591</v>
      </c>
      <c r="F48" s="231">
        <f>IF(OR($H$3&lt;=0.0075,$H$3=""),0,SUM(Model_Mthly!AQ48,(SUM(Model_Mthly!Q49:Q60)/$F$3)*(1-cost_of_sale),-Model_Mthly!V48))</f>
        <v>19612554.855806671</v>
      </c>
      <c r="G48" s="231">
        <f>IF(OR($H$3&lt;=0.0075,$H$3=""),0,SUM(Model_Mthly!AQ48,(SUM(Model_Mthly!Q49:Q60)/$G$3)*(1-cost_of_sale),-Model_Mthly!V48))</f>
        <v>18693598.234377038</v>
      </c>
      <c r="H48" s="232">
        <f>IF(OR($H$3&lt;=0.0075,$H$3=""),0,SUM(Model_Mthly!AQ48,(SUM(Model_Mthly!Q49:Q60)/$H$3)*(1-cost_of_sale),-Model_Mthly!V48))</f>
        <v>17832076.401786756</v>
      </c>
      <c r="I48" s="231">
        <f>IF(OR($H$3&lt;=0.0075,$H$3=""),0,SUM(Model_Mthly!AQ48,(SUM(Model_Mthly!Q49:Q60)/$I$3)*(1-cost_of_sale),-Model_Mthly!V48))</f>
        <v>17022768.013595887</v>
      </c>
      <c r="J48" s="231">
        <f>IF(OR($H$3&lt;=0.0075,$H$3=""),0,SUM(Model_Mthly!AQ48,(SUM(Model_Mthly!Q49:Q60)/$J$3)*(1-cost_of_sale),-Model_Mthly!V48))</f>
        <v>16261066.001180951</v>
      </c>
      <c r="K48" s="231">
        <f>IF(OR($H$3&lt;=0.0075,$H$3=""),0,SUM(Model_Mthly!AQ48,(SUM(Model_Mthly!Q49:Q60)/$K$3)*(1-cost_of_sale),-Model_Mthly!V48))</f>
        <v>15542889.818046868</v>
      </c>
      <c r="L48" s="160"/>
      <c r="M48" s="302">
        <f>IF(OR($H$3&lt;=0.0075,$H$3="",down_payment&lt;=0),"N/A",IRR(($D$4:D47,E48),))</f>
        <v>2.0342945681557603E-2</v>
      </c>
      <c r="N48" s="288">
        <f>IF(OR($H$3&lt;=0.0075,$H$3="",down_payment&lt;=0),"N/A",IRR(($D$4:D47,F48),))</f>
        <v>1.9357294097569238E-2</v>
      </c>
      <c r="O48" s="288">
        <f>IF(OR($H$3&lt;=0.0075,$H$3="",down_payment&lt;=0),"N/A",IRR(($D$4:D47,G48),))</f>
        <v>1.8394598594481733E-2</v>
      </c>
      <c r="P48" s="303">
        <f>IF(OR($H$3&lt;=0.0075,$H$3="",down_payment&lt;=0),"N/A",IRR(($D$4:D47,H48),))</f>
        <v>1.7453140438662529E-2</v>
      </c>
      <c r="Q48" s="288">
        <f>IF(OR($H$3&lt;=0.0075,$H$3="",down_payment&lt;=0),"N/A",IRR(($D$4:D47,I48),))</f>
        <v>1.65313525249756E-2</v>
      </c>
      <c r="R48" s="288">
        <f>IF(OR($H$3&lt;=0.0075,$H$3="",down_payment&lt;=0),"N/A",IRR(($D$4:D47,J48),))</f>
        <v>1.5627800706933977E-2</v>
      </c>
      <c r="S48" s="288">
        <f>IF(OR($H$3&lt;=0.0075,$H$3="",down_payment&lt;=0),"N/A",IRR(($D$4:D47,K48),))</f>
        <v>1.4741167821710296E-2</v>
      </c>
      <c r="T48" s="233"/>
      <c r="U48" s="304">
        <f t="shared" si="11"/>
        <v>0.27336818566245724</v>
      </c>
      <c r="V48" s="304">
        <f t="shared" si="12"/>
        <v>0.25868546982947493</v>
      </c>
      <c r="W48" s="304">
        <f t="shared" si="13"/>
        <v>0.24449468643767669</v>
      </c>
      <c r="X48" s="305">
        <f t="shared" si="14"/>
        <v>0.23075894039486089</v>
      </c>
      <c r="Y48" s="304">
        <f t="shared" si="15"/>
        <v>0.21744495882226222</v>
      </c>
      <c r="Z48" s="304">
        <f t="shared" si="16"/>
        <v>0.20452262884424743</v>
      </c>
      <c r="AA48" s="304">
        <f t="shared" si="17"/>
        <v>0.19196460548894478</v>
      </c>
      <c r="AB48" s="103"/>
      <c r="AC48" s="149">
        <f>SUM(Model_Mthly!$Q48,-IF(AND(leveraged_property,B48&lt;=amort_period),-PMT(AC$3/12,amort_period,loan_amount),0))</f>
        <v>123639.09680329764</v>
      </c>
      <c r="AD48" s="149">
        <f>AD47+IF(AND(leveraged_property,$B48&lt;=amort_period),PPMT(AD$3/12,$B48,amort_period,loan_amount),0)</f>
        <v>8926756.8123893645</v>
      </c>
      <c r="AE48" s="149">
        <f ca="1">SUM(AC48,Model_Mthly!$AA48,-AD48)</f>
        <v>17904059.094712622</v>
      </c>
      <c r="AF48" s="149">
        <f>SUM(Model_Mthly!$Q48,-IF(AND(leveraged_property,B48&lt;=amort_period),-PMT(AF$3/12,amort_period,loan_amount),0))</f>
        <v>122197.53958494063</v>
      </c>
      <c r="AG48" s="149">
        <f>AG47+IF(AND(leveraged_property,$B48&lt;=amort_period),PPMT(AG$3/12,$B48,amort_period,loan_amount),0)</f>
        <v>8950018.732748732</v>
      </c>
      <c r="AH48" s="149">
        <f ca="1">SUM(AF48,Model_Mthly!$AA48,-AG48)</f>
        <v>17879355.617134903</v>
      </c>
      <c r="AI48" s="149">
        <f>SUM(Model_Mthly!$Q48,-IF(AND(leveraged_property,B48&lt;=amort_period),-PMT(AI$3/12,amort_period,loan_amount),0))</f>
        <v>120736.24206761393</v>
      </c>
      <c r="AJ48" s="149">
        <f>AJ47+IF(AND(leveraged_property,$B48&lt;=amort_period),PPMT(AJ$3/12,$B48,amort_period,loan_amount),0)</f>
        <v>8972548.5098715797</v>
      </c>
      <c r="AK48" s="149">
        <f ca="1">SUM(AI48,Model_Mthly!$AA48,-AJ48)</f>
        <v>17855364.542494725</v>
      </c>
      <c r="AL48" s="229">
        <f>SUM(Model_Mthly!$Q48,-IF(AND(leveraged_property,B48&lt;=amort_period),-PMT(AL$3/12,amort_period,loan_amount),0))</f>
        <v>119255.63864312854</v>
      </c>
      <c r="AM48" s="229">
        <f>AM47+IF(AND(leveraged_property,$B48&lt;=amort_period),PPMT(AM$3/12,$B48,amort_period,loan_amount),0)</f>
        <v>8994356.0471550636</v>
      </c>
      <c r="AN48" s="229">
        <f ca="1">SUM(AL48,Model_Mthly!$AA48,-AM48)</f>
        <v>17832076.401786756</v>
      </c>
      <c r="AO48" s="149">
        <f>SUM(Model_Mthly!$Q48,-IF(AND(leveraged_property,B48&lt;=amort_period),-PMT(AO$3/12,amort_period,loan_amount),0))</f>
        <v>117756.17240895634</v>
      </c>
      <c r="AP48" s="162">
        <f>AP47+IF(AND(leveraged_property,$B48&lt;=amort_period),PPMT(AP$3/12,$B48,amort_period,loan_amount),0)</f>
        <v>9015451.9248562362</v>
      </c>
      <c r="AQ48" s="149">
        <f ca="1">SUM(AO48,Model_Mthly!$AA48,-AP48)</f>
        <v>17809481.057851411</v>
      </c>
      <c r="AR48" s="149">
        <f>SUM(Model_Mthly!$Q48,-IF(AND(leveraged_property,B48&lt;=amort_period),-PMT(AR$3/12,amort_period,loan_amount),0))</f>
        <v>116238.29388158166</v>
      </c>
      <c r="AS48" s="162">
        <f>AS47+IF(AND(leveraged_property,$B48&lt;=amort_period),PPMT(AS$3/12,$B48,amort_period,loan_amount),0)</f>
        <v>9035847.3510414939</v>
      </c>
      <c r="AT48" s="149">
        <f ca="1">SUM(AR48,Model_Mthly!$AA48,-AS48)</f>
        <v>17787567.753138781</v>
      </c>
      <c r="AU48" s="149">
        <f>SUM(Model_Mthly!$Q48,-IF(AND(leveraged_property,B48&lt;=amort_period),-PMT(AU$3/12,amort_period,loan_amount),0))</f>
        <v>114702.45973058637</v>
      </c>
      <c r="AV48" s="162">
        <f>AV47+IF(AND(leveraged_property,$B48&lt;=amort_period),PPMT(AV$3/12,$B48,amort_period,loan_amount),0)</f>
        <v>9055554.1120355595</v>
      </c>
      <c r="AW48" s="149">
        <f ca="1">SUM(AU48,Model_Mthly!$AA48,-AV48)</f>
        <v>17766325.157993719</v>
      </c>
      <c r="AX48" s="103"/>
      <c r="AY48" s="288">
        <f ca="1">IF(AND(leveraged_property,down_payment&gt;0),IRR(($AC$4:AC47,AE48),),"N/A")</f>
        <v>1.7847945283017762E-2</v>
      </c>
      <c r="AZ48" s="288">
        <f ca="1">IF(AND(leveraged_property,down_payment&gt;0),IRR(($AF$4:AF47,AH48),),"N/A")</f>
        <v>1.7717065524834815E-2</v>
      </c>
      <c r="BA48" s="288">
        <f ca="1">IF(AND(leveraged_property,down_payment&gt;0),IRR(($AI$4:AI47,AK48),),"N/A")</f>
        <v>1.7585454770371177E-2</v>
      </c>
      <c r="BB48" s="303">
        <f ca="1">IF(AND(leveraged_property,down_payment&gt;0),IRR(($AL$4:AL47,AN48),),"N/A")</f>
        <v>1.7453140438662529E-2</v>
      </c>
      <c r="BC48" s="288">
        <f ca="1">IF(AND(leveraged_property,down_payment&gt;0),IRR(($AO$4:AO47,AQ48),),"N/A")</f>
        <v>1.7320149816151681E-2</v>
      </c>
      <c r="BD48" s="288">
        <f ca="1">IF(AND(leveraged_property,down_payment&gt;0),IRR(($AR$4:AR47,AT48),),"N/A")</f>
        <v>1.7186509998817996E-2</v>
      </c>
      <c r="BE48" s="288">
        <f ca="1">IF(AND(leveraged_property,down_payment&gt;0),IRR(($AU$4:AU47,AW48),),"N/A")</f>
        <v>1.7052247837270121E-2</v>
      </c>
      <c r="BF48" s="103"/>
      <c r="BG48" s="290">
        <f ca="1">IF(AND(leveraged_property,down_payment&gt;0),((1+AY48)^12)-1,"N/A")</f>
        <v>0.23650207999932693</v>
      </c>
      <c r="BH48" s="290">
        <f ca="1">IF(AND(leveraged_property,down_payment&gt;0),((1+AZ48)^12)-1,"N/A")</f>
        <v>0.23459548451605761</v>
      </c>
      <c r="BI48" s="290">
        <f ca="1">IF(AND(leveraged_property,down_payment&gt;0),((1+BA48)^12)-1,"N/A")</f>
        <v>0.23268095802509814</v>
      </c>
      <c r="BJ48" s="305">
        <f ca="1">IF(AND(leveraged_property,down_payment&gt;0),((1+BB48)^12)-1,"N/A")</f>
        <v>0.23075894039486089</v>
      </c>
      <c r="BK48" s="290">
        <f ca="1">IF(AND(leveraged_property,down_payment&gt;0),((1+BC48)^12)-1,"N/A")</f>
        <v>0.22882986742166711</v>
      </c>
      <c r="BL48" s="290">
        <f ca="1">IF(AND(leveraged_property,down_payment&gt;0),((1+BD48)^12)-1,"N/A")</f>
        <v>0.2268941699824838</v>
      </c>
      <c r="BM48" s="290">
        <f ca="1">IF(AND(leveraged_property,down_payment&gt;0),((1+BE48)^12)-1,"N/A")</f>
        <v>0.22495227323927258</v>
      </c>
    </row>
    <row r="49" spans="1:65">
      <c r="A49" s="137">
        <f>Model_Mthly!A49</f>
        <v>41532</v>
      </c>
      <c r="B49" s="138">
        <f>Model_Mthly!B49</f>
        <v>45</v>
      </c>
      <c r="C49" s="223"/>
      <c r="D49" s="139">
        <f>Model_Mthly!AQ49</f>
        <v>119255.63864312854</v>
      </c>
      <c r="E49" s="231">
        <f>IF(OR($H$3&lt;=0.0075,$H$3=""),0,SUM(Model_Mthly!AQ49,(SUM(Model_Mthly!Q50:Q61)/$E$3)*(1-cost_of_sale),-Model_Mthly!V49))</f>
        <v>20999511.886959843</v>
      </c>
      <c r="F49" s="231">
        <f>IF(OR($H$3&lt;=0.0075,$H$3=""),0,SUM(Model_Mthly!AQ49,(SUM(Model_Mthly!Q50:Q61)/$F$3)*(1-cost_of_sale),-Model_Mthly!V49))</f>
        <v>20004115.337885622</v>
      </c>
      <c r="G49" s="231">
        <f>IF(OR($H$3&lt;=0.0075,$H$3=""),0,SUM(Model_Mthly!AQ49,(SUM(Model_Mthly!Q50:Q61)/$G$3)*(1-cost_of_sale),-Model_Mthly!V49))</f>
        <v>19072937.921009738</v>
      </c>
      <c r="H49" s="232">
        <f>IF(OR($H$3&lt;=0.0075,$H$3=""),0,SUM(Model_Mthly!AQ49,(SUM(Model_Mthly!Q50:Q61)/$H$3)*(1-cost_of_sale),-Model_Mthly!V49))</f>
        <v>18199959.092688594</v>
      </c>
      <c r="I49" s="231">
        <f>IF(OR($H$3&lt;=0.0075,$H$3=""),0,SUM(Model_Mthly!AQ49,(SUM(Model_Mthly!Q50:Q61)/$I$3)*(1-cost_of_sale),-Model_Mthly!V49))</f>
        <v>17379888.072144493</v>
      </c>
      <c r="J49" s="231">
        <f>IF(OR($H$3&lt;=0.0075,$H$3=""),0,SUM(Model_Mthly!AQ49,(SUM(Model_Mthly!Q50:Q61)/$J$3)*(1-cost_of_sale),-Model_Mthly!V49))</f>
        <v>16608056.523397103</v>
      </c>
      <c r="K49" s="231">
        <f>IF(OR($H$3&lt;=0.0075,$H$3=""),0,SUM(Model_Mthly!AQ49,(SUM(Model_Mthly!Q50:Q61)/$K$3)*(1-cost_of_sale),-Model_Mthly!V49))</f>
        <v>15880329.634578135</v>
      </c>
      <c r="L49" s="160"/>
      <c r="M49" s="302">
        <f>IF(OR($H$3&lt;=0.0075,$H$3="",down_payment&lt;=0),"N/A",IRR(($D$4:D48,E49),))</f>
        <v>2.0444011998598188E-2</v>
      </c>
      <c r="N49" s="288">
        <f>IF(OR($H$3&lt;=0.0075,$H$3="",down_payment&lt;=0),"N/A",IRR(($D$4:D48,F49),))</f>
        <v>1.9488611976661113E-2</v>
      </c>
      <c r="O49" s="288">
        <f>IF(OR($H$3&lt;=0.0075,$H$3="",down_payment&lt;=0),"N/A",IRR(($D$4:D48,G49),))</f>
        <v>1.8555770640871671E-2</v>
      </c>
      <c r="P49" s="303">
        <f>IF(OR($H$3&lt;=0.0075,$H$3="",down_payment&lt;=0),"N/A",IRR(($D$4:D48,H49),))</f>
        <v>1.764381572347283E-2</v>
      </c>
      <c r="Q49" s="288">
        <f>IF(OR($H$3&lt;=0.0075,$H$3="",down_payment&lt;=0),"N/A",IRR(($D$4:D48,I49),))</f>
        <v>1.6751223225174548E-2</v>
      </c>
      <c r="R49" s="288">
        <f>IF(OR($H$3&lt;=0.0075,$H$3="",down_payment&lt;=0),"N/A",IRR(($D$4:D48,J49),))</f>
        <v>1.5876599209857858E-2</v>
      </c>
      <c r="S49" s="288">
        <f>IF(OR($H$3&lt;=0.0075,$H$3="",down_payment&lt;=0),"N/A",IRR(($D$4:D48,K49),))</f>
        <v>1.5018664230749297E-2</v>
      </c>
      <c r="T49" s="233"/>
      <c r="U49" s="304">
        <f t="shared" si="11"/>
        <v>0.27488255610444323</v>
      </c>
      <c r="V49" s="304">
        <f t="shared" si="12"/>
        <v>0.26063263873146858</v>
      </c>
      <c r="W49" s="304">
        <f t="shared" si="13"/>
        <v>0.2468602029591036</v>
      </c>
      <c r="X49" s="305">
        <f t="shared" si="14"/>
        <v>0.23352959200276913</v>
      </c>
      <c r="Y49" s="304">
        <f t="shared" si="15"/>
        <v>0.22060864848172312</v>
      </c>
      <c r="Z49" s="304">
        <f t="shared" si="16"/>
        <v>0.20806826866277239</v>
      </c>
      <c r="AA49" s="304">
        <f t="shared" si="17"/>
        <v>0.19588202427489265</v>
      </c>
      <c r="AB49" s="103"/>
      <c r="AC49" s="149">
        <f>SUM(Model_Mthly!$Q49,-IF(AND(leveraged_property,B49&lt;=amort_period),-PMT(AC$3/12,amort_period,loan_amount),0))</f>
        <v>123639.09680329764</v>
      </c>
      <c r="AD49" s="149">
        <f>AD48+IF(AND(leveraged_property,$B49&lt;=amort_period),PPMT(AD$3/12,$B49,amort_period,loan_amount),0)</f>
        <v>8912535.3944706097</v>
      </c>
      <c r="AE49" s="149">
        <f ca="1">SUM(AC49,Model_Mthly!$AA49,-AD49)</f>
        <v>18273447.380288046</v>
      </c>
      <c r="AF49" s="149">
        <f>SUM(Model_Mthly!$Q49,-IF(AND(leveraged_property,B49&lt;=amort_period),-PMT(AF$3/12,amort_period,loan_amount),0))</f>
        <v>122197.53958494063</v>
      </c>
      <c r="AG49" s="149">
        <f>AG48+IF(AND(leveraged_property,$B49&lt;=amort_period),PPMT(AG$3/12,$B49,amort_period,loan_amount),0)</f>
        <v>8936312.4232823644</v>
      </c>
      <c r="AH49" s="149">
        <f ca="1">SUM(AF49,Model_Mthly!$AA49,-AG49)</f>
        <v>18248228.794257939</v>
      </c>
      <c r="AI49" s="149">
        <f>SUM(Model_Mthly!$Q49,-IF(AND(leveraged_property,B49&lt;=amort_period),-PMT(AI$3/12,amort_period,loan_amount),0))</f>
        <v>120736.24206761393</v>
      </c>
      <c r="AJ49" s="149">
        <f>AJ48+IF(AND(leveraged_property,$B49&lt;=amort_period),PPMT(AJ$3/12,$B49,amort_period,loan_amount),0)</f>
        <v>8959344.0578987878</v>
      </c>
      <c r="AK49" s="149">
        <f ca="1">SUM(AI49,Model_Mthly!$AA49,-AJ49)</f>
        <v>18223735.862124182</v>
      </c>
      <c r="AL49" s="229">
        <f>SUM(Model_Mthly!$Q49,-IF(AND(leveraged_property,B49&lt;=amort_period),-PMT(AL$3/12,amort_period,loan_amount),0))</f>
        <v>119255.63864312854</v>
      </c>
      <c r="AM49" s="229">
        <f>AM48+IF(AND(leveraged_property,$B49&lt;=amort_period),PPMT(AM$3/12,$B49,amort_period,loan_amount),0)</f>
        <v>8981640.2239098921</v>
      </c>
      <c r="AN49" s="229">
        <f ca="1">SUM(AL49,Model_Mthly!$AA49,-AM49)</f>
        <v>18199959.092688594</v>
      </c>
      <c r="AO49" s="149">
        <f>SUM(Model_Mthly!$Q49,-IF(AND(leveraged_property,B49&lt;=amort_period),-PMT(AO$3/12,amort_period,loan_amount),0))</f>
        <v>117756.17240895634</v>
      </c>
      <c r="AP49" s="162">
        <f>AP48+IF(AND(leveraged_property,$B49&lt;=amort_period),PPMT(AP$3/12,$B49,amort_period,loan_amount),0)</f>
        <v>9003211.5439673681</v>
      </c>
      <c r="AQ49" s="149">
        <f ca="1">SUM(AO49,Model_Mthly!$AA49,-AP49)</f>
        <v>18176888.306396946</v>
      </c>
      <c r="AR49" s="149">
        <f>SUM(Model_Mthly!$Q49,-IF(AND(leveraged_property,B49&lt;=amort_period),-PMT(AR$3/12,amort_period,loan_amount),0))</f>
        <v>116238.29388158166</v>
      </c>
      <c r="AS49" s="162">
        <f>AS48+IF(AND(leveraged_property,$B49&lt;=amort_period),PPMT(AS$3/12,$B49,amort_period,loan_amount),0)</f>
        <v>9024069.2879071888</v>
      </c>
      <c r="AT49" s="149">
        <f ca="1">SUM(AR49,Model_Mthly!$AA49,-AS49)</f>
        <v>18154512.683929749</v>
      </c>
      <c r="AU49" s="149">
        <f>SUM(Model_Mthly!$Q49,-IF(AND(leveraged_property,B49&lt;=amort_period),-PMT(AU$3/12,amort_period,loan_amount),0))</f>
        <v>114702.45973058637</v>
      </c>
      <c r="AV49" s="162">
        <f>AV48+IF(AND(leveraged_property,$B49&lt;=amort_period),PPMT(AV$3/12,$B49,amort_period,loan_amount),0)</f>
        <v>9044225.3223285712</v>
      </c>
      <c r="AW49" s="149">
        <f ca="1">SUM(AU49,Model_Mthly!$AA49,-AV49)</f>
        <v>18132820.815357376</v>
      </c>
      <c r="AX49" s="103"/>
      <c r="AY49" s="288">
        <f ca="1">IF(AND(leveraged_property,down_payment&gt;0),IRR(($AC$4:AC48,AE49),),"N/A")</f>
        <v>1.8034253939171616E-2</v>
      </c>
      <c r="AZ49" s="288">
        <f ca="1">IF(AND(leveraged_property,down_payment&gt;0),IRR(($AF$4:AF48,AH49),),"N/A")</f>
        <v>1.7904835971470009E-2</v>
      </c>
      <c r="BA49" s="288">
        <f ca="1">IF(AND(leveraged_property,down_payment&gt;0),IRR(($AI$4:AI48,AK49),),"N/A")</f>
        <v>1.7774680708269194E-2</v>
      </c>
      <c r="BB49" s="303">
        <f ca="1">IF(AND(leveraged_property,down_payment&gt;0),IRR(($AL$4:AL48,AN49),),"N/A")</f>
        <v>1.764381572347283E-2</v>
      </c>
      <c r="BC49" s="288">
        <f ca="1">IF(AND(leveraged_property,down_payment&gt;0),IRR(($AO$4:AO48,AQ49),),"N/A")</f>
        <v>1.7512268467502822E-2</v>
      </c>
      <c r="BD49" s="288">
        <f ca="1">IF(AND(leveraged_property,down_payment&gt;0),IRR(($AR$4:AR48,AT49),),"N/A")</f>
        <v>1.7380066208661102E-2</v>
      </c>
      <c r="BE49" s="288">
        <f ca="1">IF(AND(leveraged_property,down_payment&gt;0),IRR(($AU$4:AU48,AW49),),"N/A")</f>
        <v>1.7247235977456747E-2</v>
      </c>
      <c r="BF49" s="103"/>
      <c r="BG49" s="290">
        <f ca="1">IF(AND(leveraged_property,down_payment&gt;0),((1+AY49)^12)-1,"N/A")</f>
        <v>0.23922079378940997</v>
      </c>
      <c r="BH49" s="290">
        <f ca="1">IF(AND(leveraged_property,down_payment&gt;0),((1+AZ49)^12)-1,"N/A")</f>
        <v>0.23733167837701141</v>
      </c>
      <c r="BI49" s="290">
        <f ca="1">IF(AND(leveraged_property,down_payment&gt;0),((1+BA49)^12)-1,"N/A")</f>
        <v>0.23543446344113605</v>
      </c>
      <c r="BJ49" s="305">
        <f ca="1">IF(AND(leveraged_property,down_payment&gt;0),((1+BB49)^12)-1,"N/A")</f>
        <v>0.23352959200276913</v>
      </c>
      <c r="BK49" s="290">
        <f ca="1">IF(AND(leveraged_property,down_payment&gt;0),((1+BC49)^12)-1,"N/A")</f>
        <v>0.23161750315296836</v>
      </c>
      <c r="BL49" s="290">
        <f ca="1">IF(AND(leveraged_property,down_payment&gt;0),((1+BD49)^12)-1,"N/A")</f>
        <v>0.22969863119101186</v>
      </c>
      <c r="BM49" s="290">
        <f ca="1">IF(AND(leveraged_property,down_payment&gt;0),((1+BE49)^12)-1,"N/A")</f>
        <v>0.22777340481434649</v>
      </c>
    </row>
    <row r="50" spans="1:65">
      <c r="A50" s="137">
        <f>Model_Mthly!A50</f>
        <v>41562</v>
      </c>
      <c r="B50" s="138">
        <f>Model_Mthly!B50</f>
        <v>46</v>
      </c>
      <c r="C50" s="223"/>
      <c r="D50" s="139">
        <f>Model_Mthly!AQ50</f>
        <v>119255.63864312854</v>
      </c>
      <c r="E50" s="231">
        <f>IF(OR($H$3&lt;=0.0075,$H$3=""),0,SUM(Model_Mthly!AQ50,(SUM(Model_Mthly!Q51:Q62)/$E$3)*(1-cost_of_sale),-Model_Mthly!V50))</f>
        <v>21404194.258820631</v>
      </c>
      <c r="F50" s="231">
        <f>IF(OR($H$3&lt;=0.0075,$H$3=""),0,SUM(Model_Mthly!AQ50,(SUM(Model_Mthly!Q51:Q62)/$F$3)*(1-cost_of_sale),-Model_Mthly!V50))</f>
        <v>20395734.100821108</v>
      </c>
      <c r="G50" s="231">
        <f>IF(OR($H$3&lt;=0.0075,$H$3=""),0,SUM(Model_Mthly!AQ50,(SUM(Model_Mthly!Q51:Q62)/$G$3)*(1-cost_of_sale),-Model_Mthly!V50))</f>
        <v>19452335.888498969</v>
      </c>
      <c r="H50" s="232">
        <f>IF(OR($H$3&lt;=0.0075,$H$3=""),0,SUM(Model_Mthly!AQ50,(SUM(Model_Mthly!Q51:Q62)/$H$3)*(1-cost_of_sale),-Model_Mthly!V50))</f>
        <v>18567900.064446971</v>
      </c>
      <c r="I50" s="231">
        <f>IF(OR($H$3&lt;=0.0075,$H$3=""),0,SUM(Model_Mthly!AQ50,(SUM(Model_Mthly!Q51:Q62)/$I$3)*(1-cost_of_sale),-Model_Mthly!V50))</f>
        <v>17737066.411549635</v>
      </c>
      <c r="J50" s="231">
        <f>IF(OR($H$3&lt;=0.0075,$H$3=""),0,SUM(Model_Mthly!AQ50,(SUM(Model_Mthly!Q51:Q62)/$J$3)*(1-cost_of_sale),-Model_Mthly!V50))</f>
        <v>16955105.326469794</v>
      </c>
      <c r="K50" s="231">
        <f>IF(OR($H$3&lt;=0.0075,$H$3=""),0,SUM(Model_Mthly!AQ50,(SUM(Model_Mthly!Q51:Q62)/$K$3)*(1-cost_of_sale),-Model_Mthly!V50))</f>
        <v>16217827.731965939</v>
      </c>
      <c r="L50" s="160"/>
      <c r="M50" s="302">
        <f>IF(OR($H$3&lt;=0.0075,$H$3="",down_payment&lt;=0),"N/A",IRR(($D$4:D49,E50),))</f>
        <v>2.0531498839133969E-2</v>
      </c>
      <c r="N50" s="288">
        <f>IF(OR($H$3&lt;=0.0075,$H$3="",down_payment&lt;=0),"N/A",IRR(($D$4:D49,F50),))</f>
        <v>1.9604746742093587E-2</v>
      </c>
      <c r="O50" s="288">
        <f>IF(OR($H$3&lt;=0.0075,$H$3="",down_payment&lt;=0),"N/A",IRR(($D$4:D49,G50),))</f>
        <v>1.8700163494683186E-2</v>
      </c>
      <c r="P50" s="303">
        <f>IF(OR($H$3&lt;=0.0075,$H$3="",down_payment&lt;=0),"N/A",IRR(($D$4:D49,H50),))</f>
        <v>1.78161206869498E-2</v>
      </c>
      <c r="Q50" s="288">
        <f>IF(OR($H$3&lt;=0.0075,$H$3="",down_payment&lt;=0),"N/A",IRR(($D$4:D49,I50),))</f>
        <v>1.695113493780669E-2</v>
      </c>
      <c r="R50" s="288">
        <f>IF(OR($H$3&lt;=0.0075,$H$3="",down_payment&lt;=0),"N/A",IRR(($D$4:D49,J50),))</f>
        <v>1.610385013065985E-2</v>
      </c>
      <c r="S50" s="288">
        <f>IF(OR($H$3&lt;=0.0075,$H$3="",down_payment&lt;=0),"N/A",IRR(($D$4:D49,K50),))</f>
        <v>1.5273022219791899E-2</v>
      </c>
      <c r="T50" s="233"/>
      <c r="U50" s="304">
        <f t="shared" si="11"/>
        <v>0.27619478553110399</v>
      </c>
      <c r="V50" s="304">
        <f t="shared" si="12"/>
        <v>0.26235697426718341</v>
      </c>
      <c r="W50" s="304">
        <f t="shared" si="13"/>
        <v>0.24898295144680538</v>
      </c>
      <c r="X50" s="305">
        <f t="shared" si="14"/>
        <v>0.23603822588766765</v>
      </c>
      <c r="Y50" s="304">
        <f t="shared" si="15"/>
        <v>0.22349169018665904</v>
      </c>
      <c r="Z50" s="304">
        <f t="shared" si="16"/>
        <v>0.21131519040101399</v>
      </c>
      <c r="AA50" s="304">
        <f t="shared" si="17"/>
        <v>0.1994831609180352</v>
      </c>
      <c r="AB50" s="103"/>
      <c r="AC50" s="149">
        <f>SUM(Model_Mthly!$Q50,-IF(AND(leveraged_property,B50&lt;=amort_period),-PMT(AC$3/12,amort_period,loan_amount),0))</f>
        <v>123639.09680329764</v>
      </c>
      <c r="AD50" s="149">
        <f>AD49+IF(AND(leveraged_property,$B50&lt;=amort_period),PPMT(AD$3/12,$B50,amort_period,loan_amount),0)</f>
        <v>8898257.6834392603</v>
      </c>
      <c r="AE50" s="149">
        <f ca="1">SUM(AC50,Model_Mthly!$AA50,-AD50)</f>
        <v>18642891.95897606</v>
      </c>
      <c r="AF50" s="149">
        <f>SUM(Model_Mthly!$Q50,-IF(AND(leveraged_property,B50&lt;=amort_period),-PMT(AF$3/12,amort_period,loan_amount),0))</f>
        <v>122197.53958494063</v>
      </c>
      <c r="AG50" s="149">
        <f>AG49+IF(AND(leveraged_property,$B50&lt;=amort_period),PPMT(AG$3/12,$B50,amort_period,loan_amount),0)</f>
        <v>8922549.0041932203</v>
      </c>
      <c r="AH50" s="149">
        <f ca="1">SUM(AF50,Model_Mthly!$AA50,-AG50)</f>
        <v>18617159.081003748</v>
      </c>
      <c r="AI50" s="149">
        <f>SUM(Model_Mthly!$Q50,-IF(AND(leveraged_property,B50&lt;=amort_period),-PMT(AI$3/12,amort_period,loan_amount),0))</f>
        <v>120736.24206761393</v>
      </c>
      <c r="AJ50" s="149">
        <f>AJ49+IF(AND(leveraged_property,$B50&lt;=amort_period),PPMT(AJ$3/12,$B50,amort_period,loan_amount),0)</f>
        <v>8946081.8364486154</v>
      </c>
      <c r="AK50" s="149">
        <f ca="1">SUM(AI50,Model_Mthly!$AA50,-AJ50)</f>
        <v>18592164.951231025</v>
      </c>
      <c r="AL50" s="229">
        <f>SUM(Model_Mthly!$Q50,-IF(AND(leveraged_property,B50&lt;=amort_period),-PMT(AL$3/12,amort_period,loan_amount),0))</f>
        <v>119255.63864312854</v>
      </c>
      <c r="AM50" s="229">
        <f>AM49+IF(AND(leveraged_property,$B50&lt;=amort_period),PPMT(AM$3/12,$B50,amort_period,loan_amount),0)</f>
        <v>8968866.1198081803</v>
      </c>
      <c r="AN50" s="229">
        <f ca="1">SUM(AL50,Model_Mthly!$AA50,-AM50)</f>
        <v>18567900.064446971</v>
      </c>
      <c r="AO50" s="149">
        <f>SUM(Model_Mthly!$Q50,-IF(AND(leveraged_property,B50&lt;=amort_period),-PMT(AO$3/12,amort_period,loan_amount),0))</f>
        <v>117756.17240895634</v>
      </c>
      <c r="AP50" s="162">
        <f>AP49+IF(AND(leveraged_property,$B50&lt;=amort_period),PPMT(AP$3/12,$B50,amort_period,loan_amount),0)</f>
        <v>8990912.5112534072</v>
      </c>
      <c r="AQ50" s="149">
        <f ca="1">SUM(AO50,Model_Mthly!$AA50,-AP50)</f>
        <v>18544354.206767574</v>
      </c>
      <c r="AR50" s="149">
        <f>SUM(Model_Mthly!$Q50,-IF(AND(leveraged_property,B50&lt;=amort_period),-PMT(AR$3/12,amort_period,loan_amount),0))</f>
        <v>116238.29388158166</v>
      </c>
      <c r="AS50" s="162">
        <f>AS49+IF(AND(leveraged_property,$B50&lt;=amort_period),PPMT(AS$3/12,$B50,amort_period,loan_amount),0)</f>
        <v>9012232.3344572131</v>
      </c>
      <c r="AT50" s="149">
        <f ca="1">SUM(AR50,Model_Mthly!$AA50,-AS50)</f>
        <v>18521516.505036391</v>
      </c>
      <c r="AU50" s="149">
        <f>SUM(Model_Mthly!$Q50,-IF(AND(leveraged_property,B50&lt;=amort_period),-PMT(AU$3/12,amort_period,loan_amount),0))</f>
        <v>114702.45973058637</v>
      </c>
      <c r="AV50" s="162">
        <f>AV49+IF(AND(leveraged_property,$B50&lt;=amort_period),PPMT(AV$3/12,$B50,amort_period,loan_amount),0)</f>
        <v>9032837.5285085253</v>
      </c>
      <c r="AW50" s="149">
        <f ca="1">SUM(AU50,Model_Mthly!$AA50,-AV50)</f>
        <v>18499375.476834089</v>
      </c>
      <c r="AX50" s="103"/>
      <c r="AY50" s="288">
        <f ca="1">IF(AND(leveraged_property,down_payment&gt;0),IRR(($AC$4:AC49,AE50),),"N/A")</f>
        <v>1.8202360913018176E-2</v>
      </c>
      <c r="AZ50" s="288">
        <f ca="1">IF(AND(leveraged_property,down_payment&gt;0),IRR(($AF$4:AF49,AH50),),"N/A")</f>
        <v>1.8074348149139365E-2</v>
      </c>
      <c r="BA50" s="288">
        <f ca="1">IF(AND(leveraged_property,down_payment&gt;0),IRR(($AI$4:AI49,AK50),),"N/A")</f>
        <v>1.794559216675079E-2</v>
      </c>
      <c r="BB50" s="303">
        <f ca="1">IF(AND(leveraged_property,down_payment&gt;0),IRR(($AL$4:AL49,AN50),),"N/A")</f>
        <v>1.78161206869498E-2</v>
      </c>
      <c r="BC50" s="288">
        <f ca="1">IF(AND(leveraged_property,down_payment&gt;0),IRR(($AO$4:AO49,AQ50),),"N/A")</f>
        <v>1.7685961316130726E-2</v>
      </c>
      <c r="BD50" s="288">
        <f ca="1">IF(AND(leveraged_property,down_payment&gt;0),IRR(($AR$4:AR49,AT50),),"N/A")</f>
        <v>1.7555141486618034E-2</v>
      </c>
      <c r="BE50" s="288">
        <f ca="1">IF(AND(leveraged_property,down_payment&gt;0),IRR(($AU$4:AU49,AW50),),"N/A")</f>
        <v>1.7423688400252574E-2</v>
      </c>
      <c r="BF50" s="103"/>
      <c r="BG50" s="290">
        <f ca="1">IF(AND(leveraged_property,down_payment&gt;0),((1+AY50)^12)-1,"N/A")</f>
        <v>0.24167860061445445</v>
      </c>
      <c r="BH50" s="290">
        <f ca="1">IF(AND(leveraged_property,down_payment&gt;0),((1+AZ50)^12)-1,"N/A")</f>
        <v>0.23980658558259238</v>
      </c>
      <c r="BI50" s="290">
        <f ca="1">IF(AND(leveraged_property,down_payment&gt;0),((1+BA50)^12)-1,"N/A")</f>
        <v>0.23792631201829706</v>
      </c>
      <c r="BJ50" s="305">
        <f ca="1">IF(AND(leveraged_property,down_payment&gt;0),((1+BB50)^12)-1,"N/A")</f>
        <v>0.23603822588766765</v>
      </c>
      <c r="BK50" s="290">
        <f ca="1">IF(AND(leveraged_property,down_payment&gt;0),((1+BC50)^12)-1,"N/A")</f>
        <v>0.23414276936519651</v>
      </c>
      <c r="BL50" s="290">
        <f ca="1">IF(AND(leveraged_property,down_payment&gt;0),((1+BD50)^12)-1,"N/A")</f>
        <v>0.23224037995813962</v>
      </c>
      <c r="BM50" s="290">
        <f ca="1">IF(AND(leveraged_property,down_payment&gt;0),((1+BE50)^12)-1,"N/A")</f>
        <v>0.23033148968260386</v>
      </c>
    </row>
    <row r="51" spans="1:65">
      <c r="A51" s="137">
        <f>Model_Mthly!A51</f>
        <v>41593</v>
      </c>
      <c r="B51" s="138">
        <f>Model_Mthly!B51</f>
        <v>47</v>
      </c>
      <c r="C51" s="223"/>
      <c r="D51" s="139">
        <f>Model_Mthly!AQ51</f>
        <v>119255.63864312854</v>
      </c>
      <c r="E51" s="231">
        <f>IF(OR($H$3&lt;=0.0075,$H$3=""),0,SUM(Model_Mthly!AQ51,(SUM(Model_Mthly!Q52:Q63)/$E$3)*(1-cost_of_sale),-Model_Mthly!V51))</f>
        <v>21808935.178658552</v>
      </c>
      <c r="F51" s="231">
        <f>IF(OR($H$3&lt;=0.0075,$H$3=""),0,SUM(Model_Mthly!AQ51,(SUM(Model_Mthly!Q52:Q63)/$F$3)*(1-cost_of_sale),-Model_Mthly!V51))</f>
        <v>20787411.411733732</v>
      </c>
      <c r="G51" s="231">
        <f>IF(OR($H$3&lt;=0.0075,$H$3=""),0,SUM(Model_Mthly!AQ51,(SUM(Model_Mthly!Q52:Q63)/$G$3)*(1-cost_of_sale),-Model_Mthly!V51))</f>
        <v>19831792.403965339</v>
      </c>
      <c r="H51" s="232">
        <f>IF(OR($H$3&lt;=0.0075,$H$3=""),0,SUM(Model_Mthly!AQ51,(SUM(Model_Mthly!Q52:Q63)/$H$3)*(1-cost_of_sale),-Model_Mthly!V51))</f>
        <v>18935899.584182478</v>
      </c>
      <c r="I51" s="231">
        <f>IF(OR($H$3&lt;=0.0075,$H$3=""),0,SUM(Model_Mthly!AQ51,(SUM(Model_Mthly!Q52:Q63)/$I$3)*(1-cost_of_sale),-Model_Mthly!V51))</f>
        <v>18094303.298931912</v>
      </c>
      <c r="J51" s="231">
        <f>IF(OR($H$3&lt;=0.0075,$H$3=""),0,SUM(Model_Mthly!AQ51,(SUM(Model_Mthly!Q52:Q63)/$J$3)*(1-cost_of_sale),-Model_Mthly!V51))</f>
        <v>17302212.677519612</v>
      </c>
      <c r="K51" s="231">
        <f>IF(OR($H$3&lt;=0.0075,$H$3=""),0,SUM(Model_Mthly!AQ51,(SUM(Model_Mthly!Q52:Q63)/$K$3)*(1-cost_of_sale),-Model_Mthly!V51))</f>
        <v>16555384.377330879</v>
      </c>
      <c r="L51" s="160"/>
      <c r="M51" s="302">
        <f>IF(OR($H$3&lt;=0.0075,$H$3="",down_payment&lt;=0),"N/A",IRR(($D$4:D50,E51),))</f>
        <v>2.0606624280708776E-2</v>
      </c>
      <c r="N51" s="288">
        <f>IF(OR($H$3&lt;=0.0075,$H$3="",down_payment&lt;=0),"N/A",IRR(($D$4:D50,F51),))</f>
        <v>1.9707035256770523E-2</v>
      </c>
      <c r="O51" s="288">
        <f>IF(OR($H$3&lt;=0.0075,$H$3="",down_payment&lt;=0),"N/A",IRR(($D$4:D50,G51),))</f>
        <v>1.8829233159891615E-2</v>
      </c>
      <c r="P51" s="303">
        <f>IF(OR($H$3&lt;=0.0075,$H$3="",down_payment&lt;=0),"N/A",IRR(($D$4:D50,H51),))</f>
        <v>1.7971631057213035E-2</v>
      </c>
      <c r="Q51" s="288">
        <f>IF(OR($H$3&lt;=0.0075,$H$3="",down_payment&lt;=0),"N/A",IRR(($D$4:D50,I51),))</f>
        <v>1.713278392184692E-2</v>
      </c>
      <c r="R51" s="288">
        <f>IF(OR($H$3&lt;=0.0075,$H$3="",down_payment&lt;=0),"N/A",IRR(($D$4:D50,J51),))</f>
        <v>1.6311371287757059E-2</v>
      </c>
      <c r="S51" s="288">
        <f>IF(OR($H$3&lt;=0.0075,$H$3="",down_payment&lt;=0),"N/A",IRR(($D$4:D50,K51),))</f>
        <v>1.5506182417218342E-2</v>
      </c>
      <c r="T51" s="233"/>
      <c r="U51" s="304">
        <f t="shared" si="11"/>
        <v>0.2773225922543141</v>
      </c>
      <c r="V51" s="304">
        <f t="shared" si="12"/>
        <v>0.26387751513752389</v>
      </c>
      <c r="W51" s="304">
        <f t="shared" si="13"/>
        <v>0.25088323419390335</v>
      </c>
      <c r="X51" s="305">
        <f t="shared" si="14"/>
        <v>0.23830635704168368</v>
      </c>
      <c r="Y51" s="304">
        <f t="shared" si="15"/>
        <v>0.22611676605947406</v>
      </c>
      <c r="Z51" s="304">
        <f t="shared" si="16"/>
        <v>0.21428720257527267</v>
      </c>
      <c r="AA51" s="304">
        <f t="shared" si="17"/>
        <v>0.2027929140059801</v>
      </c>
      <c r="AB51" s="103"/>
      <c r="AC51" s="149">
        <f>SUM(Model_Mthly!$Q51,-IF(AND(leveraged_property,B51&lt;=amort_period),-PMT(AC$3/12,amort_period,loan_amount),0))</f>
        <v>123639.09680329764</v>
      </c>
      <c r="AD51" s="149">
        <f>AD50+IF(AND(leveraged_property,$B51&lt;=amort_period),PPMT(AD$3/12,$B51,amort_period,loan_amount),0)</f>
        <v>8883923.4564684108</v>
      </c>
      <c r="AE51" s="149">
        <f ca="1">SUM(AC51,Model_Mthly!$AA51,-AD51)</f>
        <v>19012393.053603575</v>
      </c>
      <c r="AF51" s="149">
        <f>SUM(Model_Mthly!$Q51,-IF(AND(leveraged_property,B51&lt;=amort_period),-PMT(AF$3/12,amort_period,loan_amount),0))</f>
        <v>122197.53958494063</v>
      </c>
      <c r="AG51" s="149">
        <f>AG50+IF(AND(leveraged_property,$B51&lt;=amort_period),PPMT(AG$3/12,$B51,amort_period,loan_amount),0)</f>
        <v>8908728.2375245392</v>
      </c>
      <c r="AH51" s="149">
        <f ca="1">SUM(AF51,Model_Mthly!$AA51,-AG51)</f>
        <v>18986146.715329092</v>
      </c>
      <c r="AI51" s="149">
        <f>SUM(Model_Mthly!$Q51,-IF(AND(leveraged_property,B51&lt;=amort_period),-PMT(AI$3/12,amort_period,loan_amount),0))</f>
        <v>120736.24206761393</v>
      </c>
      <c r="AJ51" s="149">
        <f>AJ50+IF(AND(leveraged_property,$B51&lt;=amort_period),PPMT(AJ$3/12,$B51,amort_period,loan_amount),0)</f>
        <v>8932761.5927795991</v>
      </c>
      <c r="AK51" s="149">
        <f ca="1">SUM(AI51,Model_Mthly!$AA51,-AJ51)</f>
        <v>18960652.062556703</v>
      </c>
      <c r="AL51" s="229">
        <f>SUM(Model_Mthly!$Q51,-IF(AND(leveraged_property,B51&lt;=amort_period),-PMT(AL$3/12,amort_period,loan_amount),0))</f>
        <v>119255.63864312854</v>
      </c>
      <c r="AM51" s="229">
        <f>AM50+IF(AND(leveraged_property,$B51&lt;=amort_period),PPMT(AM$3/12,$B51,amort_period,loan_amount),0)</f>
        <v>8956033.4677293357</v>
      </c>
      <c r="AN51" s="229">
        <f ca="1">SUM(AL51,Model_Mthly!$AA51,-AM51)</f>
        <v>18935899.584182478</v>
      </c>
      <c r="AO51" s="149">
        <f>SUM(Model_Mthly!$Q51,-IF(AND(leveraged_property,B51&lt;=amort_period),-PMT(AO$3/12,amort_period,loan_amount),0))</f>
        <v>117756.17240895634</v>
      </c>
      <c r="AP51" s="162">
        <f>AP50+IF(AND(leveraged_property,$B51&lt;=amort_period),PPMT(AP$3/12,$B51,amort_period,loan_amount),0)</f>
        <v>8978554.5456743594</v>
      </c>
      <c r="AQ51" s="149">
        <f ca="1">SUM(AO51,Model_Mthly!$AA51,-AP51)</f>
        <v>18911879.040003285</v>
      </c>
      <c r="AR51" s="149">
        <f>SUM(Model_Mthly!$Q51,-IF(AND(leveraged_property,B51&lt;=amort_period),-PMT(AR$3/12,amort_period,loan_amount),0))</f>
        <v>116238.29388158166</v>
      </c>
      <c r="AS51" s="162">
        <f>AS50+IF(AND(leveraged_property,$B51&lt;=amort_period),PPMT(AS$3/12,$B51,amort_period,loan_amount),0)</f>
        <v>9000336.1962399874</v>
      </c>
      <c r="AT51" s="149">
        <f ca="1">SUM(AR51,Model_Mthly!$AA51,-AS51)</f>
        <v>18888579.51091028</v>
      </c>
      <c r="AU51" s="149">
        <f>SUM(Model_Mthly!$Q51,-IF(AND(leveraged_property,B51&lt;=amort_period),-PMT(AU$3/12,amort_period,loan_amount),0))</f>
        <v>114702.45973058637</v>
      </c>
      <c r="AV51" s="162">
        <f>AV50+IF(AND(leveraged_property,$B51&lt;=amort_period),PPMT(AV$3/12,$B51,amort_period,loan_amount),0)</f>
        <v>9021390.4232623335</v>
      </c>
      <c r="AW51" s="149">
        <f ca="1">SUM(AU51,Model_Mthly!$AA51,-AV51)</f>
        <v>18865989.449736945</v>
      </c>
      <c r="AX51" s="103"/>
      <c r="AY51" s="288">
        <f ca="1">IF(AND(leveraged_property,down_payment&gt;0),IRR(($AC$4:AC50,AE51),),"N/A")</f>
        <v>1.8353832221920215E-2</v>
      </c>
      <c r="AZ51" s="288">
        <f ca="1">IF(AND(leveraged_property,down_payment&gt;0),IRR(($AF$4:AF50,AH51),),"N/A")</f>
        <v>1.8227171336874824E-2</v>
      </c>
      <c r="BA51" s="288">
        <f ca="1">IF(AND(leveraged_property,down_payment&gt;0),IRR(($AI$4:AI50,AK51),),"N/A")</f>
        <v>1.8099761661589848E-2</v>
      </c>
      <c r="BB51" s="303">
        <f ca="1">IF(AND(leveraged_property,down_payment&gt;0),IRR(($AL$4:AL50,AN51),),"N/A")</f>
        <v>1.7971631057213035E-2</v>
      </c>
      <c r="BC51" s="288">
        <f ca="1">IF(AND(leveraged_property,down_payment&gt;0),IRR(($AO$4:AO50,AQ51),),"N/A")</f>
        <v>1.784280727866118E-2</v>
      </c>
      <c r="BD51" s="288">
        <f ca="1">IF(AND(leveraged_property,down_payment&gt;0),IRR(($AR$4:AR50,AT51),),"N/A")</f>
        <v>1.7713317914548148E-2</v>
      </c>
      <c r="BE51" s="288">
        <f ca="1">IF(AND(leveraged_property,down_payment&gt;0),IRR(($AU$4:AU50,AW51),),"N/A")</f>
        <v>1.7583190330064023E-2</v>
      </c>
      <c r="BF51" s="103"/>
      <c r="BG51" s="290">
        <f ca="1">IF(AND(leveraged_property,down_payment&gt;0),((1+AY51)^12)-1,"N/A")</f>
        <v>0.24389701202926983</v>
      </c>
      <c r="BH51" s="290">
        <f ca="1">IF(AND(leveraged_property,down_payment&gt;0),((1+AZ51)^12)-1,"N/A")</f>
        <v>0.24204171941116881</v>
      </c>
      <c r="BI51" s="290">
        <f ca="1">IF(AND(leveraged_property,down_payment&gt;0),((1+BA51)^12)-1,"N/A")</f>
        <v>0.24017801817570628</v>
      </c>
      <c r="BJ51" s="305">
        <f ca="1">IF(AND(leveraged_property,down_payment&gt;0),((1+BB51)^12)-1,"N/A")</f>
        <v>0.23830635704168368</v>
      </c>
      <c r="BK51" s="290">
        <f ca="1">IF(AND(leveraged_property,down_payment&gt;0),((1+BC51)^12)-1,"N/A")</f>
        <v>0.23642718107100813</v>
      </c>
      <c r="BL51" s="290">
        <f ca="1">IF(AND(leveraged_property,down_payment&gt;0),((1+BD51)^12)-1,"N/A")</f>
        <v>0.23454093077978766</v>
      </c>
      <c r="BM51" s="290">
        <f ca="1">IF(AND(leveraged_property,down_payment&gt;0),((1+BE51)^12)-1,"N/A")</f>
        <v>0.23264804130125083</v>
      </c>
    </row>
    <row r="52" spans="1:65">
      <c r="A52" s="137">
        <f>Model_Mthly!A52</f>
        <v>41623</v>
      </c>
      <c r="B52" s="138">
        <f>Model_Mthly!B52</f>
        <v>48</v>
      </c>
      <c r="C52" s="223"/>
      <c r="D52" s="183">
        <f>Model_Mthly!AQ52</f>
        <v>119255.63864312854</v>
      </c>
      <c r="E52" s="202">
        <f>IF(OR($H$3&lt;=0.0075,$H$3=""),0,SUM(Model_Mthly!AQ52,(SUM(Model_Mthly!Q53:Q64)/$E$3)*(1-cost_of_sale),-Model_Mthly!V52))</f>
        <v>22213734.91481851</v>
      </c>
      <c r="F52" s="202">
        <f>IF(OR($H$3&lt;=0.0075,$H$3=""),0,SUM(Model_Mthly!AQ52,(SUM(Model_Mthly!Q53:Q64)/$F$3)*(1-cost_of_sale),-Model_Mthly!V52))</f>
        <v>21179147.538968377</v>
      </c>
      <c r="G52" s="202">
        <f>IF(OR($H$3&lt;=0.0075,$H$3=""),0,SUM(Model_Mthly!AQ52,(SUM(Model_Mthly!Q53:Q64)/$G$3)*(1-cost_of_sale),-Model_Mthly!V52))</f>
        <v>20211307.735753745</v>
      </c>
      <c r="H52" s="202">
        <f>IF(OR($H$3&lt;=0.0075,$H$3=""),0,SUM(Model_Mthly!AQ52,(SUM(Model_Mthly!Q53:Q64)/$H$3)*(1-cost_of_sale),-Model_Mthly!V52))</f>
        <v>19303957.920240022</v>
      </c>
      <c r="I52" s="202">
        <f>IF(OR($H$3&lt;=0.0075,$H$3=""),0,SUM(Model_Mthly!AQ52,(SUM(Model_Mthly!Q53:Q64)/$I$3)*(1-cost_of_sale),-Model_Mthly!V52))</f>
        <v>18451599.002636224</v>
      </c>
      <c r="J52" s="202">
        <f>IF(OR($H$3&lt;=0.0075,$H$3=""),0,SUM(Model_Mthly!AQ52,(SUM(Model_Mthly!Q53:Q64)/$J$3)*(1-cost_of_sale),-Model_Mthly!V52))</f>
        <v>17649378.844891466</v>
      </c>
      <c r="K52" s="202">
        <f>IF(OR($H$3&lt;=0.0075,$H$3=""),0,SUM(Model_Mthly!AQ52,(SUM(Model_Mthly!Q53:Q64)/$K$3)*(1-cost_of_sale),-Model_Mthly!V52))</f>
        <v>16892999.839017846</v>
      </c>
      <c r="L52" s="160"/>
      <c r="M52" s="289">
        <f>IF(OR($H$3&lt;=0.0075,$H$3="",down_payment&lt;=0),"N/A",IRR(($D$4:D51,E52),))</f>
        <v>2.0670485078560581E-2</v>
      </c>
      <c r="N52" s="289">
        <f>IF(OR($H$3&lt;=0.0075,$H$3="",down_payment&lt;=0),"N/A",IRR(($D$4:D51,F52),))</f>
        <v>1.9796681906887329E-2</v>
      </c>
      <c r="O52" s="289">
        <f>IF(OR($H$3&lt;=0.0075,$H$3="",down_payment&lt;=0),"N/A",IRR(($D$4:D51,G52),))</f>
        <v>1.8944291892561364E-2</v>
      </c>
      <c r="P52" s="289">
        <f>IF(OR($H$3&lt;=0.0075,$H$3="",down_payment&lt;=0),"N/A",IRR(($D$4:D51,H52),))</f>
        <v>1.8111767399968864E-2</v>
      </c>
      <c r="Q52" s="289">
        <f>IF(OR($H$3&lt;=0.0075,$H$3="",down_payment&lt;=0),"N/A",IRR(($D$4:D51,I52),))</f>
        <v>1.729769968924107E-2</v>
      </c>
      <c r="R52" s="289">
        <f>IF(OR($H$3&lt;=0.0075,$H$3="",down_payment&lt;=0),"N/A",IRR(($D$4:D51,J52),))</f>
        <v>1.6500801970443617E-2</v>
      </c>
      <c r="S52" s="289">
        <f>IF(OR($H$3&lt;=0.0075,$H$3="",down_payment&lt;=0),"N/A",IRR(($D$4:D51,K52),))</f>
        <v>1.5719894914569484E-2</v>
      </c>
      <c r="T52" s="233"/>
      <c r="U52" s="291">
        <f t="shared" si="11"/>
        <v>0.2782820089281004</v>
      </c>
      <c r="V52" s="291">
        <f t="shared" si="12"/>
        <v>0.26521151224494166</v>
      </c>
      <c r="W52" s="291">
        <f t="shared" si="13"/>
        <v>0.25257946902238038</v>
      </c>
      <c r="X52" s="291">
        <f t="shared" si="14"/>
        <v>0.24035352418142697</v>
      </c>
      <c r="Y52" s="291">
        <f t="shared" si="15"/>
        <v>0.22850449446981158</v>
      </c>
      <c r="Z52" s="291">
        <f t="shared" si="16"/>
        <v>0.21700596630689906</v>
      </c>
      <c r="AA52" s="291">
        <f t="shared" si="17"/>
        <v>0.20583395447337383</v>
      </c>
      <c r="AB52" s="103"/>
      <c r="AC52" s="186">
        <f>SUM(Model_Mthly!$Q52,-IF(AND(leveraged_property,B52&lt;=amort_period),-PMT(AC$3/12,amort_period,loan_amount),0))</f>
        <v>123639.09680329764</v>
      </c>
      <c r="AD52" s="186">
        <f>AD51+IF(AND(leveraged_property,$B52&lt;=amort_period),PPMT(AD$3/12,$B52,amort_period,loan_amount),0)</f>
        <v>8869532.4898491353</v>
      </c>
      <c r="AE52" s="186">
        <f ca="1">SUM(AC52,Model_Mthly!$AA52,-AD52)</f>
        <v>19381950.887879517</v>
      </c>
      <c r="AF52" s="186">
        <f>SUM(Model_Mthly!$Q52,-IF(AND(leveraged_property,B52&lt;=amort_period),-PMT(AF$3/12,amort_period,loan_amount),0))</f>
        <v>122197.53958494063</v>
      </c>
      <c r="AG52" s="186">
        <f>AG51+IF(AND(leveraged_property,$B52&lt;=amort_period),PPMT(AG$3/12,$B52,amort_period,loan_amount),0)</f>
        <v>8894849.884328071</v>
      </c>
      <c r="AH52" s="186">
        <f ca="1">SUM(AF52,Model_Mthly!$AA52,-AG52)</f>
        <v>19355191.936182227</v>
      </c>
      <c r="AI52" s="186">
        <f>SUM(Model_Mthly!$Q52,-IF(AND(leveraged_property,B52&lt;=amort_period),-PMT(AI$3/12,amort_period,loan_amount),0))</f>
        <v>120736.24206761393</v>
      </c>
      <c r="AJ52" s="186">
        <f>AJ51+IF(AND(leveraged_property,$B52&lt;=amort_period),PPMT(AJ$3/12,$B52,amort_period,loan_amount),0)</f>
        <v>8919383.0730445292</v>
      </c>
      <c r="AK52" s="186">
        <f ca="1">SUM(AI52,Model_Mthly!$AA52,-AJ52)</f>
        <v>19329197.449948438</v>
      </c>
      <c r="AL52" s="186">
        <f>SUM(Model_Mthly!$Q52,-IF(AND(leveraged_property,B52&lt;=amort_period),-PMT(AL$3/12,amort_period,loan_amount),0))</f>
        <v>119255.63864312854</v>
      </c>
      <c r="AM52" s="186">
        <f>AM51+IF(AND(leveraged_property,$B52&lt;=amort_period),PPMT(AM$3/12,$B52,amort_period,loan_amount),0)</f>
        <v>8943141.9993284624</v>
      </c>
      <c r="AN52" s="186">
        <f ca="1">SUM(AL52,Model_Mthly!$AA52,-AM52)</f>
        <v>19303957.920240022</v>
      </c>
      <c r="AO52" s="186">
        <f>SUM(Model_Mthly!$Q52,-IF(AND(leveraged_property,B52&lt;=amort_period),-PMT(AO$3/12,amort_period,loan_amount),0))</f>
        <v>117756.17240895634</v>
      </c>
      <c r="AP52" s="186">
        <f>AP51+IF(AND(leveraged_property,$B52&lt;=amort_period),PPMT(AP$3/12,$B52,amort_period,loan_amount),0)</f>
        <v>8966137.364843579</v>
      </c>
      <c r="AQ52" s="186">
        <f ca="1">SUM(AO52,Model_Mthly!$AA52,-AP52)</f>
        <v>19279463.088490732</v>
      </c>
      <c r="AR52" s="186">
        <f>SUM(Model_Mthly!$Q52,-IF(AND(leveraged_property,B52&lt;=amort_period),-PMT(AR$3/12,amort_period,loan_amount),0))</f>
        <v>116238.29388158166</v>
      </c>
      <c r="AS52" s="186">
        <f>AS51+IF(AND(leveraged_property,$B52&lt;=amort_period),PPMT(AS$3/12,$B52,amort_period,loan_amount),0)</f>
        <v>8988380.5773316752</v>
      </c>
      <c r="AT52" s="186">
        <f ca="1">SUM(AR52,Model_Mthly!$AA52,-AS52)</f>
        <v>19255701.997475259</v>
      </c>
      <c r="AU52" s="186">
        <f>SUM(Model_Mthly!$Q52,-IF(AND(leveraged_property,B52&lt;=amort_period),-PMT(AU$3/12,amort_period,loan_amount),0))</f>
        <v>114702.45973058637</v>
      </c>
      <c r="AV52" s="186">
        <f>AV51+IF(AND(leveraged_property,$B52&lt;=amort_period),PPMT(AV$3/12,$B52,amort_period,loan_amount),0)</f>
        <v>9009883.6976763178</v>
      </c>
      <c r="AW52" s="186">
        <f ca="1">SUM(AU52,Model_Mthly!$AA52,-AV52)</f>
        <v>19232663.042979628</v>
      </c>
      <c r="AX52" s="103"/>
      <c r="AY52" s="289">
        <f ca="1">IF(AND(leveraged_property,down_payment&gt;0),IRR(($AC$4:AC51,AE52),),"N/A")</f>
        <v>1.849007948329889E-2</v>
      </c>
      <c r="AZ52" s="289">
        <f ca="1">IF(AND(leveraged_property,down_payment&gt;0),IRR(($AF$4:AF51,AH52),),"N/A")</f>
        <v>1.8364720157617732E-2</v>
      </c>
      <c r="BA52" s="289">
        <f ca="1">IF(AND(leveraged_property,down_payment&gt;0),IRR(($AI$4:AI51,AK52),),"N/A")</f>
        <v>1.8238606798325306E-2</v>
      </c>
      <c r="BB52" s="289">
        <f ca="1">IF(AND(leveraged_property,down_payment&gt;0),IRR(($AL$4:AL51,AN52),),"N/A")</f>
        <v>1.8111767399968864E-2</v>
      </c>
      <c r="BC52" s="289">
        <f ca="1">IF(AND(leveraged_property,down_payment&gt;0),IRR(($AO$4:AO51,AQ52),),"N/A")</f>
        <v>1.7984229859041211E-2</v>
      </c>
      <c r="BD52" s="289">
        <f ca="1">IF(AND(leveraged_property,down_payment&gt;0),IRR(($AR$4:AR51,AT52),),"N/A")</f>
        <v>1.7856021913235227E-2</v>
      </c>
      <c r="BE52" s="289">
        <f ca="1">IF(AND(leveraged_property,down_payment&gt;0),IRR(($AU$4:AU51,AW52),),"N/A")</f>
        <v>1.7727171083644588E-2</v>
      </c>
      <c r="BF52" s="103"/>
      <c r="BG52" s="291">
        <f ca="1">IF(AND(leveraged_property,down_payment&gt;0),((1+AY52)^12)-1,"N/A")</f>
        <v>0.24589555896690518</v>
      </c>
      <c r="BH52" s="291">
        <f ca="1">IF(AND(leveraged_property,down_payment&gt;0),((1+AZ52)^12)-1,"N/A")</f>
        <v>0.24405661392829203</v>
      </c>
      <c r="BI52" s="291">
        <f ca="1">IF(AND(leveraged_property,down_payment&gt;0),((1+BA52)^12)-1,"N/A")</f>
        <v>0.24220911856878735</v>
      </c>
      <c r="BJ52" s="291">
        <f ca="1">IF(AND(leveraged_property,down_payment&gt;0),((1+BB52)^12)-1,"N/A")</f>
        <v>0.24035352418142697</v>
      </c>
      <c r="BK52" s="291">
        <f ca="1">IF(AND(leveraged_property,down_payment&gt;0),((1+BC52)^12)-1,"N/A")</f>
        <v>0.23849027853343263</v>
      </c>
      <c r="BL52" s="291">
        <f ca="1">IF(AND(leveraged_property,down_payment&gt;0),((1+BD52)^12)-1,"N/A")</f>
        <v>0.23661982496470246</v>
      </c>
      <c r="BM52" s="291">
        <f ca="1">IF(AND(leveraged_property,down_payment&gt;0),((1+BE52)^12)-1,"N/A")</f>
        <v>0.23474260153811266</v>
      </c>
    </row>
    <row r="53" spans="1:65">
      <c r="A53" s="137">
        <f>Model_Mthly!A53</f>
        <v>41654</v>
      </c>
      <c r="B53" s="138">
        <f>Model_Mthly!B53</f>
        <v>49</v>
      </c>
      <c r="C53" s="223"/>
      <c r="D53" s="139">
        <f>Model_Mthly!AQ53</f>
        <v>148868.97539703475</v>
      </c>
      <c r="E53" s="231">
        <f>IF(OR($H$3&lt;=0.0075,$H$3=""),0,SUM(Model_Mthly!AQ53,(SUM(Model_Mthly!Q54:Q65)/$E$3)*(1-cost_of_sale),-Model_Mthly!V53))</f>
        <v>22255884.678954631</v>
      </c>
      <c r="F53" s="231">
        <f>IF(OR($H$3&lt;=0.0075,$H$3=""),0,SUM(Model_Mthly!AQ53,(SUM(Model_Mthly!Q54:Q65)/$F$3)*(1-cost_of_sale),-Model_Mthly!V53))</f>
        <v>21221311.107335016</v>
      </c>
      <c r="G53" s="231">
        <f>IF(OR($H$3&lt;=0.0075,$H$3=""),0,SUM(Model_Mthly!AQ53,(SUM(Model_Mthly!Q54:Q65)/$G$3)*(1-cost_of_sale),-Model_Mthly!V53))</f>
        <v>20253484.217755381</v>
      </c>
      <c r="H53" s="232">
        <f>IF(OR($H$3&lt;=0.0075,$H$3=""),0,SUM(Model_Mthly!AQ53,(SUM(Model_Mthly!Q54:Q65)/$H$3)*(1-cost_of_sale),-Model_Mthly!V53))</f>
        <v>19346146.508774471</v>
      </c>
      <c r="I53" s="231">
        <f>IF(OR($H$3&lt;=0.0075,$H$3=""),0,SUM(Model_Mthly!AQ53,(SUM(Model_Mthly!Q54:Q65)/$I$3)*(1-cost_of_sale),-Model_Mthly!V53))</f>
        <v>18493798.963974223</v>
      </c>
      <c r="J53" s="231">
        <f>IF(OR($H$3&lt;=0.0075,$H$3=""),0,SUM(Model_Mthly!AQ53,(SUM(Model_Mthly!Q54:Q65)/$J$3)*(1-cost_of_sale),-Model_Mthly!V53))</f>
        <v>17691589.510044575</v>
      </c>
      <c r="K53" s="231">
        <f>IF(OR($H$3&lt;=0.0075,$H$3=""),0,SUM(Model_Mthly!AQ53,(SUM(Model_Mthly!Q54:Q65)/$K$3)*(1-cost_of_sale),-Model_Mthly!V53))</f>
        <v>16935220.596339483</v>
      </c>
      <c r="L53" s="160"/>
      <c r="M53" s="302">
        <f>IF(OR($H$3&lt;=0.0075,$H$3="",down_payment&lt;=0),"N/A",IRR(($D$4:D52,E53),))</f>
        <v>2.0434060177005112E-2</v>
      </c>
      <c r="N53" s="288">
        <f>IF(OR($H$3&lt;=0.0075,$H$3="",down_payment&lt;=0),"N/A",IRR(($D$4:D52,F53),))</f>
        <v>1.9583191008930981E-2</v>
      </c>
      <c r="O53" s="288">
        <f>IF(OR($H$3&lt;=0.0075,$H$3="",down_payment&lt;=0),"N/A",IRR(($D$4:D52,G53),))</f>
        <v>1.8753319791345834E-2</v>
      </c>
      <c r="P53" s="303">
        <f>IF(OR($H$3&lt;=0.0075,$H$3="",down_payment&lt;=0),"N/A",IRR(($D$4:D52,H53),))</f>
        <v>1.794293545336317E-2</v>
      </c>
      <c r="Q53" s="288">
        <f>IF(OR($H$3&lt;=0.0075,$H$3="",down_payment&lt;=0),"N/A",IRR(($D$4:D52,I53),))</f>
        <v>1.7150662806670616E-2</v>
      </c>
      <c r="R53" s="288">
        <f>IF(OR($H$3&lt;=0.0075,$H$3="",down_payment&lt;=0),"N/A",IRR(($D$4:D52,J53),))</f>
        <v>1.6375245983409434E-2</v>
      </c>
      <c r="S53" s="288">
        <f>IF(OR($H$3&lt;=0.0075,$H$3="",down_payment&lt;=0),"N/A",IRR(($D$4:D52,K53),))</f>
        <v>1.5615534276248613E-2</v>
      </c>
      <c r="T53" s="233"/>
      <c r="U53" s="304">
        <f t="shared" si="11"/>
        <v>0.27473336548046912</v>
      </c>
      <c r="V53" s="304">
        <f t="shared" si="12"/>
        <v>0.26203675763750423</v>
      </c>
      <c r="W53" s="304">
        <f t="shared" si="13"/>
        <v>0.24976524678139067</v>
      </c>
      <c r="X53" s="305">
        <f t="shared" si="14"/>
        <v>0.23788754254114952</v>
      </c>
      <c r="Y53" s="304">
        <f t="shared" si="15"/>
        <v>0.22637541924895643</v>
      </c>
      <c r="Z53" s="304">
        <f t="shared" si="16"/>
        <v>0.21520332782309337</v>
      </c>
      <c r="AA53" s="304">
        <f t="shared" si="17"/>
        <v>0.20434806632963998</v>
      </c>
      <c r="AB53" s="103"/>
      <c r="AC53" s="149">
        <f>SUM(Model_Mthly!$Q53,-IF(AND(leveraged_property,B53&lt;=amort_period),-PMT(AC$3/12,amort_period,loan_amount),0))</f>
        <v>153252.43355720385</v>
      </c>
      <c r="AD53" s="149">
        <f>AD52+IF(AND(leveraged_property,$B53&lt;=amort_period),PPMT(AD$3/12,$B53,amort_period,loan_amount),0)</f>
        <v>8855084.5589869916</v>
      </c>
      <c r="AE53" s="149">
        <f ca="1">SUM(AC53,Model_Mthly!$AA53,-AD53)</f>
        <v>19425636.852978401</v>
      </c>
      <c r="AF53" s="149">
        <f>SUM(Model_Mthly!$Q53,-IF(AND(leveraged_property,B53&lt;=amort_period),-PMT(AF$3/12,amort_period,loan_amount),0))</f>
        <v>151810.87633884687</v>
      </c>
      <c r="AG53" s="149">
        <f>AG52+IF(AND(leveraged_property,$B53&lt;=amort_period),PPMT(AG$3/12,$B53,amort_period,loan_amount),0)</f>
        <v>8880913.7046599519</v>
      </c>
      <c r="AH53" s="149">
        <f ca="1">SUM(AF53,Model_Mthly!$AA53,-AG53)</f>
        <v>19398366.150087081</v>
      </c>
      <c r="AI53" s="149">
        <f>SUM(Model_Mthly!$Q53,-IF(AND(leveraged_property,B53&lt;=amort_period),-PMT(AI$3/12,amort_period,loan_amount),0))</f>
        <v>150349.57882152015</v>
      </c>
      <c r="AJ53" s="149">
        <f>AJ52+IF(AND(leveraged_property,$B53&lt;=amort_period),PPMT(AJ$3/12,$B53,amort_period,loan_amount),0)</f>
        <v>8905946.0222856198</v>
      </c>
      <c r="AK53" s="149">
        <f ca="1">SUM(AI53,Model_Mthly!$AA53,-AJ53)</f>
        <v>19371872.534944087</v>
      </c>
      <c r="AL53" s="229">
        <f>SUM(Model_Mthly!$Q53,-IF(AND(leveraged_property,B53&lt;=amort_period),-PMT(AL$3/12,amort_period,loan_amount),0))</f>
        <v>148868.97539703475</v>
      </c>
      <c r="AM53" s="229">
        <f>AM52+IF(AND(leveraged_property,$B53&lt;=amort_period),PPMT(AM$3/12,$B53,amort_period,loan_amount),0)</f>
        <v>8930191.4450307526</v>
      </c>
      <c r="AN53" s="229">
        <f ca="1">SUM(AL53,Model_Mthly!$AA53,-AM53)</f>
        <v>19346146.508774471</v>
      </c>
      <c r="AO53" s="149">
        <f>SUM(Model_Mthly!$Q53,-IF(AND(leveraged_property,B53&lt;=amort_period),-PMT(AO$3/12,amort_period,loan_amount),0))</f>
        <v>147369.50916286255</v>
      </c>
      <c r="AP53" s="162">
        <f>AP52+IF(AND(leveraged_property,$B53&lt;=amort_period),PPMT(AP$3/12,$B53,amort_period,loan_amount),0)</f>
        <v>8953660.6850213166</v>
      </c>
      <c r="AQ53" s="149">
        <f ca="1">SUM(AO53,Model_Mthly!$AA53,-AP53)</f>
        <v>19321177.802549735</v>
      </c>
      <c r="AR53" s="149">
        <f>SUM(Model_Mthly!$Q53,-IF(AND(leveraged_property,B53&lt;=amort_period),-PMT(AR$3/12,amort_period,loan_amount),0))</f>
        <v>145851.63063548788</v>
      </c>
      <c r="AS53" s="162">
        <f>AS52+IF(AND(leveraged_property,$B53&lt;=amort_period),PPMT(AS$3/12,$B53,amort_period,loan_amount),0)</f>
        <v>8976365.1803288218</v>
      </c>
      <c r="AT53" s="149">
        <f ca="1">SUM(AR53,Model_Mthly!$AA53,-AS53)</f>
        <v>19296955.428714857</v>
      </c>
      <c r="AU53" s="149">
        <f>SUM(Model_Mthly!$Q53,-IF(AND(leveraged_property,B53&lt;=amort_period),-PMT(AU$3/12,amort_period,loan_amount),0))</f>
        <v>144315.7964844926</v>
      </c>
      <c r="AV53" s="162">
        <f>AV52+IF(AND(leveraged_property,$B53&lt;=amort_period),PPMT(AV$3/12,$B53,amort_period,loan_amount),0)</f>
        <v>8998317.0412278753</v>
      </c>
      <c r="AW53" s="149">
        <f ca="1">SUM(AU53,Model_Mthly!$AA53,-AV53)</f>
        <v>19273467.733664803</v>
      </c>
      <c r="AX53" s="103"/>
      <c r="AY53" s="288">
        <f ca="1">IF(AND(leveraged_property,down_payment&gt;0),IRR(($AC$4:AC52,AE53),),"N/A")</f>
        <v>1.8320548330773873E-2</v>
      </c>
      <c r="AZ53" s="288">
        <f ca="1">IF(AND(leveraged_property,down_payment&gt;0),IRR(($AF$4:AF52,AH53),),"N/A")</f>
        <v>1.8195429872932465E-2</v>
      </c>
      <c r="BA53" s="288">
        <f ca="1">IF(AND(leveraged_property,down_payment&gt;0),IRR(($AI$4:AI52,AK53),),"N/A")</f>
        <v>1.8069549485183727E-2</v>
      </c>
      <c r="BB53" s="303">
        <f ca="1">IF(AND(leveraged_property,down_payment&gt;0),IRR(($AL$4:AL52,AN53),),"N/A")</f>
        <v>1.794293545336317E-2</v>
      </c>
      <c r="BC53" s="288">
        <f ca="1">IF(AND(leveraged_property,down_payment&gt;0),IRR(($AO$4:AO52,AQ53),),"N/A")</f>
        <v>1.7815615968389573E-2</v>
      </c>
      <c r="BD53" s="288">
        <f ca="1">IF(AND(leveraged_property,down_payment&gt;0),IRR(($AR$4:AR52,AT53),),"N/A")</f>
        <v>1.7687619064620502E-2</v>
      </c>
      <c r="BE53" s="288">
        <f ca="1">IF(AND(leveraged_property,down_payment&gt;0),IRR(($AU$4:AU52,AW53),),"N/A")</f>
        <v>1.7558972561178804E-2</v>
      </c>
      <c r="BF53" s="103"/>
      <c r="BG53" s="290">
        <f ca="1">IF(AND(leveraged_property,down_payment&gt;0),((1+AY53)^12)-1,"N/A")</f>
        <v>0.24340923314788121</v>
      </c>
      <c r="BH53" s="290">
        <f ca="1">IF(AND(leveraged_property,down_payment&gt;0),((1+AZ53)^12)-1,"N/A")</f>
        <v>0.24157717713772464</v>
      </c>
      <c r="BI53" s="290">
        <f ca="1">IF(AND(leveraged_property,down_payment&gt;0),((1+BA53)^12)-1,"N/A")</f>
        <v>0.2397364618912794</v>
      </c>
      <c r="BJ53" s="305">
        <f ca="1">IF(AND(leveraged_property,down_payment&gt;0),((1+BB53)^12)-1,"N/A")</f>
        <v>0.23788754254114952</v>
      </c>
      <c r="BK53" s="290">
        <f ca="1">IF(AND(leveraged_property,down_payment&gt;0),((1+BC53)^12)-1,"N/A")</f>
        <v>0.23603087073123352</v>
      </c>
      <c r="BL53" s="290">
        <f ca="1">IF(AND(leveraged_property,down_payment&gt;0),((1+BD53)^12)-1,"N/A")</f>
        <v>0.23416689370279609</v>
      </c>
      <c r="BM53" s="290">
        <f ca="1">IF(AND(leveraged_property,down_payment&gt;0),((1+BE53)^12)-1,"N/A")</f>
        <v>0.2322960534327676</v>
      </c>
    </row>
    <row r="54" spans="1:65">
      <c r="A54" s="137">
        <f>Model_Mthly!A54</f>
        <v>41685</v>
      </c>
      <c r="B54" s="138">
        <f>Model_Mthly!B54</f>
        <v>50</v>
      </c>
      <c r="C54" s="223"/>
      <c r="D54" s="139">
        <f>Model_Mthly!AQ54</f>
        <v>92272.062527659786</v>
      </c>
      <c r="E54" s="231">
        <f>IF(OR($H$3&lt;=0.0075,$H$3=""),0,SUM(Model_Mthly!AQ54,(SUM(Model_Mthly!Q55:Q66)/$E$3)*(1-cost_of_sale),-Model_Mthly!V54))</f>
        <v>22186888.125035539</v>
      </c>
      <c r="F54" s="231">
        <f>IF(OR($H$3&lt;=0.0075,$H$3=""),0,SUM(Model_Mthly!AQ54,(SUM(Model_Mthly!Q55:Q66)/$F$3)*(1-cost_of_sale),-Model_Mthly!V54))</f>
        <v>21153161.538484417</v>
      </c>
      <c r="G54" s="231">
        <f>IF(OR($H$3&lt;=0.0075,$H$3=""),0,SUM(Model_Mthly!AQ54,(SUM(Model_Mthly!Q55:Q66)/$G$3)*(1-cost_of_sale),-Model_Mthly!V54))</f>
        <v>20186126.989775296</v>
      </c>
      <c r="H54" s="232">
        <f>IF(OR($H$3&lt;=0.0075,$H$3=""),0,SUM(Model_Mthly!AQ54,(SUM(Model_Mthly!Q55:Q66)/$H$3)*(1-cost_of_sale),-Model_Mthly!V54))</f>
        <v>19279532.100360502</v>
      </c>
      <c r="I54" s="231">
        <f>IF(OR($H$3&lt;=0.0075,$H$3=""),0,SUM(Model_Mthly!AQ54,(SUM(Model_Mthly!Q55:Q66)/$I$3)*(1-cost_of_sale),-Model_Mthly!V54))</f>
        <v>18427882.355758723</v>
      </c>
      <c r="J54" s="231">
        <f>IF(OR($H$3&lt;=0.0075,$H$3=""),0,SUM(Model_Mthly!AQ54,(SUM(Model_Mthly!Q55:Q66)/$J$3)*(1-cost_of_sale),-Model_Mthly!V54))</f>
        <v>17626329.654957049</v>
      </c>
      <c r="K54" s="231">
        <f>IF(OR($H$3&lt;=0.0075,$H$3=""),0,SUM(Model_Mthly!AQ54,(SUM(Model_Mthly!Q55:Q66)/$K$3)*(1-cost_of_sale),-Model_Mthly!V54))</f>
        <v>16870579.965629756</v>
      </c>
      <c r="L54" s="160"/>
      <c r="M54" s="302">
        <f>IF(OR($H$3&lt;=0.0075,$H$3="",down_payment&lt;=0),"N/A",IRR(($D$4:D53,E54),))</f>
        <v>2.014348817400945E-2</v>
      </c>
      <c r="N54" s="288">
        <f>IF(OR($H$3&lt;=0.0075,$H$3="",down_payment&lt;=0),"N/A",IRR(($D$4:D53,F54),))</f>
        <v>1.9312519131661442E-2</v>
      </c>
      <c r="O54" s="288">
        <f>IF(OR($H$3&lt;=0.0075,$H$3="",down_payment&lt;=0),"N/A",IRR(($D$4:D53,G54),))</f>
        <v>1.8502107810717851E-2</v>
      </c>
      <c r="P54" s="303">
        <f>IF(OR($H$3&lt;=0.0075,$H$3="",down_payment&lt;=0),"N/A",IRR(($D$4:D53,H54),))</f>
        <v>1.7710776790881341E-2</v>
      </c>
      <c r="Q54" s="288">
        <f>IF(OR($H$3&lt;=0.0075,$H$3="",down_payment&lt;=0),"N/A",IRR(($D$4:D53,I54),))</f>
        <v>1.6937181584027246E-2</v>
      </c>
      <c r="R54" s="288">
        <f>IF(OR($H$3&lt;=0.0075,$H$3="",down_payment&lt;=0),"N/A",IRR(($D$4:D53,J54),))</f>
        <v>1.6180094436209016E-2</v>
      </c>
      <c r="S54" s="288">
        <f>IF(OR($H$3&lt;=0.0075,$H$3="",down_payment&lt;=0),"N/A",IRR(($D$4:D53,K54),))</f>
        <v>1.5438390479278251E-2</v>
      </c>
      <c r="T54" s="233"/>
      <c r="U54" s="304">
        <f t="shared" si="11"/>
        <v>0.27038436589723269</v>
      </c>
      <c r="V54" s="304">
        <f t="shared" si="12"/>
        <v>0.25802218146783051</v>
      </c>
      <c r="W54" s="304">
        <f t="shared" si="13"/>
        <v>0.24607213816155693</v>
      </c>
      <c r="X54" s="305">
        <f t="shared" si="14"/>
        <v>0.23450394105342598</v>
      </c>
      <c r="Y54" s="304">
        <f t="shared" si="15"/>
        <v>0.22329025839438832</v>
      </c>
      <c r="Z54" s="304">
        <f t="shared" si="16"/>
        <v>0.21240634670446634</v>
      </c>
      <c r="AA54" s="304">
        <f t="shared" si="17"/>
        <v>0.20182973250271918</v>
      </c>
      <c r="AB54" s="103"/>
      <c r="AC54" s="149">
        <f>SUM(Model_Mthly!$Q54,-IF(AND(leveraged_property,B54&lt;=amort_period),-PMT(AC$3/12,amort_period,loan_amount),0))</f>
        <v>96655.520687828888</v>
      </c>
      <c r="AD54" s="149">
        <f>AD53+IF(AND(leveraged_property,$B54&lt;=amort_period),PPMT(AD$3/12,$B54,amort_period,loan_amount),0)</f>
        <v>8840579.4383985195</v>
      </c>
      <c r="AE54" s="149">
        <f ca="1">SUM(AC54,Model_Mthly!$AA54,-AD54)</f>
        <v>19360517.654147997</v>
      </c>
      <c r="AF54" s="149">
        <f>SUM(Model_Mthly!$Q54,-IF(AND(leveraged_property,B54&lt;=amort_period),-PMT(AF$3/12,amort_period,loan_amount),0))</f>
        <v>95213.963469471884</v>
      </c>
      <c r="AG54" s="149">
        <f>AG53+IF(AND(leveraged_property,$B54&lt;=amort_period),PPMT(AG$3/12,$B54,amort_period,loan_amount),0)</f>
        <v>8866919.4575765487</v>
      </c>
      <c r="AH54" s="149">
        <f ca="1">SUM(AF54,Model_Mthly!$AA54,-AG54)</f>
        <v>19332736.077751607</v>
      </c>
      <c r="AI54" s="149">
        <f>SUM(Model_Mthly!$Q54,-IF(AND(leveraged_property,B54&lt;=amort_period),-PMT(AI$3/12,amort_period,loan_amount),0))</f>
        <v>93752.66595214518</v>
      </c>
      <c r="AJ54" s="149">
        <f>AJ53+IF(AND(leveraged_property,$B54&lt;=amort_period),PPMT(AJ$3/12,$B54,amort_period,loan_amount),0)</f>
        <v>8892450.18442964</v>
      </c>
      <c r="AK54" s="149">
        <f ca="1">SUM(AI54,Model_Mthly!$AA54,-AJ54)</f>
        <v>19305744.05338119</v>
      </c>
      <c r="AL54" s="229">
        <f>SUM(Model_Mthly!$Q54,-IF(AND(leveraged_property,B54&lt;=amort_period),-PMT(AL$3/12,amort_period,loan_amount),0))</f>
        <v>92272.062527659786</v>
      </c>
      <c r="AM54" s="229">
        <f>AM53+IF(AND(leveraged_property,$B54&lt;=amort_period),PPMT(AM$3/12,$B54,amort_period,loan_amount),0)</f>
        <v>8917181.5340258442</v>
      </c>
      <c r="AN54" s="229">
        <f ca="1">SUM(AL54,Model_Mthly!$AA54,-AM54)</f>
        <v>19279532.100360502</v>
      </c>
      <c r="AO54" s="149">
        <f>SUM(Model_Mthly!$Q54,-IF(AND(leveraged_property,B54&lt;=amort_period),-PMT(AO$3/12,amort_period,loan_amount),0))</f>
        <v>90772.596293487586</v>
      </c>
      <c r="AP54" s="162">
        <f>AP53+IF(AND(leveraged_property,$B54&lt;=amort_period),PPMT(AP$3/12,$B54,amort_period,loan_amount),0)</f>
        <v>8941124.2211082391</v>
      </c>
      <c r="AQ54" s="149">
        <f ca="1">SUM(AO54,Model_Mthly!$AA54,-AP54)</f>
        <v>19254089.947043933</v>
      </c>
      <c r="AR54" s="149">
        <f>SUM(Model_Mthly!$Q54,-IF(AND(leveraged_property,B54&lt;=amort_period),-PMT(AR$3/12,amort_period,loan_amount),0))</f>
        <v>89254.71776611291</v>
      </c>
      <c r="AS54" s="162">
        <f>AS53+IF(AND(leveraged_property,$B54&lt;=amort_period),PPMT(AS$3/12,$B54,amort_period,loan_amount),0)</f>
        <v>8964289.7063409537</v>
      </c>
      <c r="AT54" s="149">
        <f ca="1">SUM(AR54,Model_Mthly!$AA54,-AS54)</f>
        <v>19229406.583283845</v>
      </c>
      <c r="AU54" s="149">
        <f>SUM(Model_Mthly!$Q54,-IF(AND(leveraged_property,B54&lt;=amort_period),-PMT(AU$3/12,amort_period,loan_amount),0))</f>
        <v>87718.883615117622</v>
      </c>
      <c r="AV54" s="162">
        <f>AV53+IF(AND(leveraged_property,$B54&lt;=amort_period),PPMT(AV$3/12,$B54,amort_period,loan_amount),0)</f>
        <v>8986690.1417770963</v>
      </c>
      <c r="AW54" s="149">
        <f ca="1">SUM(AU54,Model_Mthly!$AA54,-AV54)</f>
        <v>19205470.313696705</v>
      </c>
      <c r="AX54" s="103"/>
      <c r="AY54" s="288">
        <f ca="1">IF(AND(leveraged_property,down_payment&gt;0),IRR(($AC$4:AC53,AE54),),"N/A")</f>
        <v>1.8088453950959486E-2</v>
      </c>
      <c r="AZ54" s="288">
        <f ca="1">IF(AND(leveraged_property,down_payment&gt;0),IRR(($AF$4:AF53,AH54),),"N/A")</f>
        <v>1.7963322579702977E-2</v>
      </c>
      <c r="BA54" s="288">
        <f ca="1">IF(AND(leveraged_property,down_payment&gt;0),IRR(($AI$4:AI53,AK54),),"N/A")</f>
        <v>1.7837420655395567E-2</v>
      </c>
      <c r="BB54" s="303">
        <f ca="1">IF(AND(leveraged_property,down_payment&gt;0),IRR(($AL$4:AL53,AN54),),"N/A")</f>
        <v>1.7710776790881341E-2</v>
      </c>
      <c r="BC54" s="288">
        <f ca="1">IF(AND(leveraged_property,down_payment&gt;0),IRR(($AO$4:AO53,AQ54),),"N/A")</f>
        <v>1.7583419506279306E-2</v>
      </c>
      <c r="BD54" s="288">
        <f ca="1">IF(AND(leveraged_property,down_payment&gt;0),IRR(($AR$4:AR53,AT54),),"N/A")</f>
        <v>1.7455377166381437E-2</v>
      </c>
      <c r="BE54" s="288">
        <f ca="1">IF(AND(leveraged_property,down_payment&gt;0),IRR(($AU$4:AU53,AW54),),"N/A")</f>
        <v>1.7326677921050859E-2</v>
      </c>
      <c r="BF54" s="103"/>
      <c r="BG54" s="290">
        <f ca="1">IF(AND(leveraged_property,down_payment&gt;0),((1+AY54)^12)-1,"N/A")</f>
        <v>0.24001273711310578</v>
      </c>
      <c r="BH54" s="290">
        <f ca="1">IF(AND(leveraged_property,down_payment&gt;0),((1+AZ54)^12)-1,"N/A")</f>
        <v>0.23818508082883083</v>
      </c>
      <c r="BI54" s="290">
        <f ca="1">IF(AND(leveraged_property,down_payment&gt;0),((1+BA54)^12)-1,"N/A")</f>
        <v>0.23634866238205854</v>
      </c>
      <c r="BJ54" s="305">
        <f ca="1">IF(AND(leveraged_property,down_payment&gt;0),((1+BB54)^12)-1,"N/A")</f>
        <v>0.23450394105342598</v>
      </c>
      <c r="BK54" s="290">
        <f ca="1">IF(AND(leveraged_property,down_payment&gt;0),((1+BC54)^12)-1,"N/A")</f>
        <v>0.23265137265301306</v>
      </c>
      <c r="BL54" s="290">
        <f ca="1">IF(AND(leveraged_property,down_payment&gt;0),((1+BD54)^12)-1,"N/A")</f>
        <v>0.23079140859389202</v>
      </c>
      <c r="BM54" s="290">
        <f ca="1">IF(AND(leveraged_property,down_payment&gt;0),((1+BE54)^12)-1,"N/A")</f>
        <v>0.22892449501836465</v>
      </c>
    </row>
    <row r="55" spans="1:65">
      <c r="A55" s="137">
        <f>Model_Mthly!A55</f>
        <v>41713</v>
      </c>
      <c r="B55" s="138">
        <f>Model_Mthly!B55</f>
        <v>51</v>
      </c>
      <c r="C55" s="223"/>
      <c r="D55" s="139">
        <f>Model_Mthly!AQ55</f>
        <v>148868.97539703475</v>
      </c>
      <c r="E55" s="231">
        <f>IF(OR($H$3&lt;=0.0075,$H$3=""),0,SUM(Model_Mthly!AQ55,(SUM(Model_Mthly!Q56:Q67)/$E$3)*(1-cost_of_sale),-Model_Mthly!V55))</f>
        <v>22256140.4507531</v>
      </c>
      <c r="F55" s="231">
        <f>IF(OR($H$3&lt;=0.0075,$H$3=""),0,SUM(Model_Mthly!AQ55,(SUM(Model_Mthly!Q56:Q67)/$F$3)*(1-cost_of_sale),-Model_Mthly!V55))</f>
        <v>21222427.668432496</v>
      </c>
      <c r="G55" s="231">
        <f>IF(OR($H$3&lt;=0.0075,$H$3=""),0,SUM(Model_Mthly!AQ55,(SUM(Model_Mthly!Q56:Q67)/$G$3)*(1-cost_of_sale),-Model_Mthly!V55))</f>
        <v>20255406.03335838</v>
      </c>
      <c r="H55" s="232">
        <f>IF(OR($H$3&lt;=0.0075,$H$3=""),0,SUM(Model_Mthly!AQ55,(SUM(Model_Mthly!Q56:Q67)/$H$3)*(1-cost_of_sale),-Model_Mthly!V55))</f>
        <v>19348823.25047639</v>
      </c>
      <c r="I55" s="231">
        <f>IF(OR($H$3&lt;=0.0075,$H$3=""),0,SUM(Model_Mthly!AQ55,(SUM(Model_Mthly!Q56:Q67)/$I$3)*(1-cost_of_sale),-Model_Mthly!V55))</f>
        <v>18497184.878678165</v>
      </c>
      <c r="J55" s="231">
        <f>IF(OR($H$3&lt;=0.0075,$H$3=""),0,SUM(Model_Mthly!AQ55,(SUM(Model_Mthly!Q56:Q67)/$J$3)*(1-cost_of_sale),-Model_Mthly!V55))</f>
        <v>17695642.881691597</v>
      </c>
      <c r="K55" s="231">
        <f>IF(OR($H$3&lt;=0.0075,$H$3=""),0,SUM(Model_Mthly!AQ55,(SUM(Model_Mthly!Q56:Q67)/$K$3)*(1-cost_of_sale),-Model_Mthly!V55))</f>
        <v>16939903.28453283</v>
      </c>
      <c r="L55" s="160"/>
      <c r="M55" s="302">
        <f>IF(OR($H$3&lt;=0.0075,$H$3="",down_payment&lt;=0),"N/A",IRR(($D$4:D54,E55),))</f>
        <v>1.9927164355258997E-2</v>
      </c>
      <c r="N55" s="288">
        <f>IF(OR($H$3&lt;=0.0075,$H$3="",down_payment&lt;=0),"N/A",IRR(($D$4:D54,F55),))</f>
        <v>1.9117326407723279E-2</v>
      </c>
      <c r="O55" s="288">
        <f>IF(OR($H$3&lt;=0.0075,$H$3="",down_payment&lt;=0),"N/A",IRR(($D$4:D54,G55),))</f>
        <v>1.8327662998202307E-2</v>
      </c>
      <c r="P55" s="303">
        <f>IF(OR($H$3&lt;=0.0075,$H$3="",down_payment&lt;=0),"N/A",IRR(($D$4:D54,H55),))</f>
        <v>1.7556730239956991E-2</v>
      </c>
      <c r="Q55" s="288">
        <f>IF(OR($H$3&lt;=0.0075,$H$3="",down_payment&lt;=0),"N/A",IRR(($D$4:D54,I55),))</f>
        <v>1.6803214405474224E-2</v>
      </c>
      <c r="R55" s="288">
        <f>IF(OR($H$3&lt;=0.0075,$H$3="",down_payment&lt;=0),"N/A",IRR(($D$4:D54,J55),))</f>
        <v>1.6065916080462834E-2</v>
      </c>
      <c r="S55" s="288">
        <f>IF(OR($H$3&lt;=0.0075,$H$3="",down_payment&lt;=0),"N/A",IRR(($D$4:D54,K55),))</f>
        <v>1.5343736617296546E-2</v>
      </c>
      <c r="T55" s="233"/>
      <c r="U55" s="304">
        <f t="shared" si="11"/>
        <v>0.26715547763711633</v>
      </c>
      <c r="V55" s="304">
        <f t="shared" si="12"/>
        <v>0.25513437253904048</v>
      </c>
      <c r="W55" s="304">
        <f t="shared" si="13"/>
        <v>0.24351348460151168</v>
      </c>
      <c r="X55" s="305">
        <f t="shared" si="14"/>
        <v>0.2322634675658799</v>
      </c>
      <c r="Y55" s="304">
        <f t="shared" si="15"/>
        <v>0.22135784337235442</v>
      </c>
      <c r="Z55" s="304">
        <f t="shared" si="16"/>
        <v>0.2107726396673375</v>
      </c>
      <c r="AA55" s="304">
        <f t="shared" si="17"/>
        <v>0.20048608203643825</v>
      </c>
      <c r="AB55" s="103"/>
      <c r="AC55" s="149">
        <f>SUM(Model_Mthly!$Q55,-IF(AND(leveraged_property,B55&lt;=amort_period),-PMT(AC$3/12,amort_period,loan_amount),0))</f>
        <v>153252.43355720385</v>
      </c>
      <c r="AD55" s="149">
        <f>AD54+IF(AND(leveraged_property,$B55&lt;=amort_period),PPMT(AD$3/12,$B55,amort_period,loan_amount),0)</f>
        <v>8826016.9017077181</v>
      </c>
      <c r="AE55" s="149">
        <f ca="1">SUM(AC55,Model_Mthly!$AA55,-AD55)</f>
        <v>19431301.80119101</v>
      </c>
      <c r="AF55" s="149">
        <f>SUM(Model_Mthly!$Q55,-IF(AND(leveraged_property,B55&lt;=amort_period),-PMT(AF$3/12,amort_period,loan_amount),0))</f>
        <v>151810.87633884687</v>
      </c>
      <c r="AG55" s="149">
        <f>AG54+IF(AND(leveraged_property,$B55&lt;=amort_period),PPMT(AG$3/12,$B55,amort_period,loan_amount),0)</f>
        <v>8852866.9011302982</v>
      </c>
      <c r="AH55" s="149">
        <f ca="1">SUM(AF55,Model_Mthly!$AA55,-AG55)</f>
        <v>19403010.244550072</v>
      </c>
      <c r="AI55" s="149">
        <f>SUM(Model_Mthly!$Q55,-IF(AND(leveraged_property,B55&lt;=amort_period),-PMT(AI$3/12,amort_period,loan_amount),0))</f>
        <v>150349.57882152015</v>
      </c>
      <c r="AJ55" s="149">
        <f>AJ54+IF(AND(leveraged_property,$B55&lt;=amort_period),PPMT(AJ$3/12,$B55,amort_period,loan_amount),0)</f>
        <v>8878895.3022830393</v>
      </c>
      <c r="AK55" s="149">
        <f ca="1">SUM(AI55,Model_Mthly!$AA55,-AJ55)</f>
        <v>19375520.545880005</v>
      </c>
      <c r="AL55" s="229">
        <f>SUM(Model_Mthly!$Q55,-IF(AND(leveraged_property,B55&lt;=amort_period),-PMT(AL$3/12,amort_period,loan_amount),0))</f>
        <v>148868.97539703475</v>
      </c>
      <c r="AM55" s="229">
        <f>AM54+IF(AND(leveraged_property,$B55&lt;=amort_period),PPMT(AM$3/12,$B55,amort_period,loan_amount),0)</f>
        <v>8904111.9942621645</v>
      </c>
      <c r="AN55" s="229">
        <f ca="1">SUM(AL55,Model_Mthly!$AA55,-AM55)</f>
        <v>19348823.25047639</v>
      </c>
      <c r="AO55" s="149">
        <f>SUM(Model_Mthly!$Q55,-IF(AND(leveraged_property,B55&lt;=amort_period),-PMT(AO$3/12,amort_period,loan_amount),0))</f>
        <v>147369.50916286255</v>
      </c>
      <c r="AP55" s="162">
        <f>AP54+IF(AND(leveraged_property,$B55&lt;=amort_period),PPMT(AP$3/12,$B55,amort_period,loan_amount),0)</f>
        <v>8928527.6866389122</v>
      </c>
      <c r="AQ55" s="149">
        <f ca="1">SUM(AO55,Model_Mthly!$AA55,-AP55)</f>
        <v>19322908.091865472</v>
      </c>
      <c r="AR55" s="149">
        <f>SUM(Model_Mthly!$Q55,-IF(AND(leveraged_property,B55&lt;=amort_period),-PMT(AR$3/12,amort_period,loan_amount),0))</f>
        <v>145851.63063548788</v>
      </c>
      <c r="AS55" s="162">
        <f>AS54+IF(AND(leveraged_property,$B55&lt;=amort_period),PPMT(AS$3/12,$B55,amort_period,loan_amount),0)</f>
        <v>8952153.8549831472</v>
      </c>
      <c r="AT55" s="149">
        <f ca="1">SUM(AR55,Model_Mthly!$AA55,-AS55)</f>
        <v>19297764.044993863</v>
      </c>
      <c r="AU55" s="149">
        <f>SUM(Model_Mthly!$Q55,-IF(AND(leveraged_property,B55&lt;=amort_period),-PMT(AU$3/12,amort_period,loan_amount),0))</f>
        <v>144315.7964844926</v>
      </c>
      <c r="AV55" s="162">
        <f>AV54+IF(AND(leveraged_property,$B55&lt;=amort_period),PPMT(AV$3/12,$B55,amort_period,loan_amount),0)</f>
        <v>8975002.6855583452</v>
      </c>
      <c r="AW55" s="149">
        <f ca="1">SUM(AU55,Model_Mthly!$AA55,-AV55)</f>
        <v>19273379.380267669</v>
      </c>
      <c r="AX55" s="103"/>
      <c r="AY55" s="288">
        <f ca="1">IF(AND(leveraged_property,down_payment&gt;0),IRR(($AC$4:AC54,AE55),),"N/A")</f>
        <v>1.7933724195417972E-2</v>
      </c>
      <c r="AZ55" s="288">
        <f ca="1">IF(AND(leveraged_property,down_payment&gt;0),IRR(($AF$4:AF54,AH55),),"N/A")</f>
        <v>1.7808828232954474E-2</v>
      </c>
      <c r="BA55" s="288">
        <f ca="1">IF(AND(leveraged_property,down_payment&gt;0),IRR(($AI$4:AI54,AK55),),"N/A")</f>
        <v>1.7683153949902969E-2</v>
      </c>
      <c r="BB55" s="303">
        <f ca="1">IF(AND(leveraged_property,down_payment&gt;0),IRR(($AL$4:AL54,AN55),),"N/A")</f>
        <v>1.7556730239956991E-2</v>
      </c>
      <c r="BC55" s="288">
        <f ca="1">IF(AND(leveraged_property,down_payment&gt;0),IRR(($AO$4:AO54,AQ55),),"N/A")</f>
        <v>1.7429585907602067E-2</v>
      </c>
      <c r="BD55" s="288">
        <f ca="1">IF(AND(leveraged_property,down_payment&gt;0),IRR(($AR$4:AR54,AT55),),"N/A")</f>
        <v>1.7301749604625535E-2</v>
      </c>
      <c r="BE55" s="288">
        <f ca="1">IF(AND(leveraged_property,down_payment&gt;0),IRR(($AU$4:AU54,AW55),),"N/A")</f>
        <v>1.7173249769651226E-2</v>
      </c>
      <c r="BF55" s="103"/>
      <c r="BG55" s="290">
        <f ca="1">IF(AND(leveraged_property,down_payment&gt;0),((1+AY55)^12)-1,"N/A")</f>
        <v>0.23775313106964679</v>
      </c>
      <c r="BH55" s="290">
        <f ca="1">IF(AND(leveraged_property,down_payment&gt;0),((1+AZ55)^12)-1,"N/A")</f>
        <v>0.23593195840153602</v>
      </c>
      <c r="BI55" s="290">
        <f ca="1">IF(AND(leveraged_property,down_payment&gt;0),((1+BA55)^12)-1,"N/A")</f>
        <v>0.23410191623411869</v>
      </c>
      <c r="BJ55" s="305">
        <f ca="1">IF(AND(leveraged_property,down_payment&gt;0),((1+BB55)^12)-1,"N/A")</f>
        <v>0.2322634675658799</v>
      </c>
      <c r="BK55" s="290">
        <f ca="1">IF(AND(leveraged_property,down_payment&gt;0),((1+BC55)^12)-1,"N/A")</f>
        <v>0.23041707196751027</v>
      </c>
      <c r="BL55" s="290">
        <f ca="1">IF(AND(leveraged_property,down_payment&gt;0),((1+BD55)^12)-1,"N/A")</f>
        <v>0.22856318464312686</v>
      </c>
      <c r="BM55" s="290">
        <f ca="1">IF(AND(leveraged_property,down_payment&gt;0),((1+BE55)^12)-1,"N/A")</f>
        <v>0.22670225554455992</v>
      </c>
    </row>
    <row r="56" spans="1:65">
      <c r="A56" s="137">
        <f>Model_Mthly!A56</f>
        <v>41744</v>
      </c>
      <c r="B56" s="138">
        <f>Model_Mthly!B56</f>
        <v>52</v>
      </c>
      <c r="C56" s="223"/>
      <c r="D56" s="139">
        <f>Model_Mthly!AQ56</f>
        <v>148852.8776145172</v>
      </c>
      <c r="E56" s="231">
        <f>IF(OR($H$3&lt;=0.0075,$H$3=""),0,SUM(Model_Mthly!AQ56,(SUM(Model_Mthly!Q57:Q68)/$E$3)*(1-cost_of_sale),-Model_Mthly!V56))</f>
        <v>22268832.740278587</v>
      </c>
      <c r="F56" s="231">
        <f>IF(OR($H$3&lt;=0.0075,$H$3=""),0,SUM(Model_Mthly!AQ56,(SUM(Model_Mthly!Q57:Q68)/$F$3)*(1-cost_of_sale),-Model_Mthly!V56))</f>
        <v>21235133.993108414</v>
      </c>
      <c r="G56" s="231">
        <f>IF(OR($H$3&lt;=0.0075,$H$3=""),0,SUM(Model_Mthly!AQ56,(SUM(Model_Mthly!Q57:Q68)/$G$3)*(1-cost_of_sale),-Model_Mthly!V56))</f>
        <v>20268125.487691149</v>
      </c>
      <c r="H56" s="232">
        <f>IF(OR($H$3&lt;=0.0075,$H$3=""),0,SUM(Model_Mthly!AQ56,(SUM(Model_Mthly!Q57:Q68)/$H$3)*(1-cost_of_sale),-Model_Mthly!V56))</f>
        <v>19361555.013862461</v>
      </c>
      <c r="I56" s="231">
        <f>IF(OR($H$3&lt;=0.0075,$H$3=""),0,SUM(Model_Mthly!AQ56,(SUM(Model_Mthly!Q57:Q68)/$I$3)*(1-cost_of_sale),-Model_Mthly!V56))</f>
        <v>18509928.205114305</v>
      </c>
      <c r="J56" s="231">
        <f>IF(OR($H$3&lt;=0.0075,$H$3=""),0,SUM(Model_Mthly!AQ56,(SUM(Model_Mthly!Q57:Q68)/$J$3)*(1-cost_of_sale),-Model_Mthly!V56))</f>
        <v>17708397.090998396</v>
      </c>
      <c r="K56" s="231">
        <f>IF(OR($H$3&lt;=0.0075,$H$3=""),0,SUM(Model_Mthly!AQ56,(SUM(Model_Mthly!Q57:Q68)/$K$3)*(1-cost_of_sale),-Model_Mthly!V56))</f>
        <v>16952667.754831962</v>
      </c>
      <c r="L56" s="160"/>
      <c r="M56" s="302">
        <f>IF(OR($H$3&lt;=0.0075,$H$3="",down_payment&lt;=0),"N/A",IRR(($D$4:D55,E56),))</f>
        <v>1.9719608126489804E-2</v>
      </c>
      <c r="N56" s="288">
        <f>IF(OR($H$3&lt;=0.0075,$H$3="",down_payment&lt;=0),"N/A",IRR(($D$4:D55,F56),))</f>
        <v>1.8930047302217159E-2</v>
      </c>
      <c r="O56" s="288">
        <f>IF(OR($H$3&lt;=0.0075,$H$3="",down_payment&lt;=0),"N/A",IRR(($D$4:D55,G56),))</f>
        <v>1.8160290777259894E-2</v>
      </c>
      <c r="P56" s="303">
        <f>IF(OR($H$3&lt;=0.0075,$H$3="",down_payment&lt;=0),"N/A",IRR(($D$4:D55,H56),))</f>
        <v>1.7408926772810331E-2</v>
      </c>
      <c r="Q56" s="288">
        <f>IF(OR($H$3&lt;=0.0075,$H$3="",down_payment&lt;=0),"N/A",IRR(($D$4:D55,I56),))</f>
        <v>1.6674671002005717E-2</v>
      </c>
      <c r="R56" s="288">
        <f>IF(OR($H$3&lt;=0.0075,$H$3="",down_payment&lt;=0),"N/A",IRR(($D$4:D55,J56),))</f>
        <v>1.5956351161386145E-2</v>
      </c>
      <c r="S56" s="288">
        <f>IF(OR($H$3&lt;=0.0075,$H$3="",down_payment&lt;=0),"N/A",IRR(($D$4:D55,K56),))</f>
        <v>1.5252893673641245E-2</v>
      </c>
      <c r="T56" s="233"/>
      <c r="U56" s="304">
        <f t="shared" si="11"/>
        <v>0.264064529381135</v>
      </c>
      <c r="V56" s="304">
        <f t="shared" si="12"/>
        <v>0.25236935614694977</v>
      </c>
      <c r="W56" s="304">
        <f t="shared" si="13"/>
        <v>0.24106309564237693</v>
      </c>
      <c r="X56" s="305">
        <f t="shared" si="14"/>
        <v>0.23011729872855868</v>
      </c>
      <c r="Y56" s="304">
        <f t="shared" si="15"/>
        <v>0.2195062947941504</v>
      </c>
      <c r="Z56" s="304">
        <f t="shared" si="16"/>
        <v>0.20920684096428088</v>
      </c>
      <c r="AA56" s="304">
        <f t="shared" si="17"/>
        <v>0.19919782423571575</v>
      </c>
      <c r="AB56" s="103"/>
      <c r="AC56" s="149">
        <f>SUM(Model_Mthly!$Q56,-IF(AND(leveraged_property,B56&lt;=amort_period),-PMT(AC$3/12,amort_period,loan_amount),0))</f>
        <v>153236.3357746863</v>
      </c>
      <c r="AD56" s="149">
        <f>AD55+IF(AND(leveraged_property,$B56&lt;=amort_period),PPMT(AD$3/12,$B56,amort_period,loan_amount),0)</f>
        <v>8811396.7216425147</v>
      </c>
      <c r="AE56" s="149">
        <f ca="1">SUM(AC56,Model_Mthly!$AA56,-AD56)</f>
        <v>19445524.302821353</v>
      </c>
      <c r="AF56" s="149">
        <f>SUM(Model_Mthly!$Q56,-IF(AND(leveraged_property,B56&lt;=amort_period),-PMT(AF$3/12,amort_period,loan_amount),0))</f>
        <v>151794.77855632931</v>
      </c>
      <c r="AG56" s="149">
        <f>AG55+IF(AND(leveraged_property,$B56&lt;=amort_period),PPMT(AG$3/12,$B56,amort_period,loan_amount),0)</f>
        <v>8838755.7923655212</v>
      </c>
      <c r="AH56" s="149">
        <f ca="1">SUM(AF56,Model_Mthly!$AA56,-AG56)</f>
        <v>19416723.674879987</v>
      </c>
      <c r="AI56" s="149">
        <f>SUM(Model_Mthly!$Q56,-IF(AND(leveraged_property,B56&lt;=amort_period),-PMT(AI$3/12,amort_period,loan_amount),0))</f>
        <v>150333.4810390026</v>
      </c>
      <c r="AJ56" s="149">
        <f>AJ55+IF(AND(leveraged_property,$B56&lt;=amort_period),PPMT(AJ$3/12,$B56,amort_period,loan_amount),0)</f>
        <v>8865281.1175270472</v>
      </c>
      <c r="AK56" s="149">
        <f ca="1">SUM(AI56,Model_Mthly!$AA56,-AJ56)</f>
        <v>19388737.052201137</v>
      </c>
      <c r="AL56" s="229">
        <f>SUM(Model_Mthly!$Q56,-IF(AND(leveraged_property,B56&lt;=amort_period),-PMT(AL$3/12,amort_period,loan_amount),0))</f>
        <v>148852.8776145172</v>
      </c>
      <c r="AM56" s="229">
        <f>AM55+IF(AND(leveraged_property,$B56&lt;=amort_period),PPMT(AM$3/12,$B56,amort_period,loan_amount),0)</f>
        <v>8890982.5524412338</v>
      </c>
      <c r="AN56" s="229">
        <f ca="1">SUM(AL56,Model_Mthly!$AA56,-AM56)</f>
        <v>19361555.013862461</v>
      </c>
      <c r="AO56" s="149">
        <f>SUM(Model_Mthly!$Q56,-IF(AND(leveraged_property,B56&lt;=amort_period),-PMT(AO$3/12,amort_period,loan_amount),0))</f>
        <v>147353.411380345</v>
      </c>
      <c r="AP56" s="162">
        <f>AP55+IF(AND(leveraged_property,$B56&lt;=amort_period),PPMT(AP$3/12,$B56,amort_period,loan_amount),0)</f>
        <v>8915870.793775253</v>
      </c>
      <c r="AQ56" s="149">
        <f ca="1">SUM(AO56,Model_Mthly!$AA56,-AP56)</f>
        <v>19335167.30629427</v>
      </c>
      <c r="AR56" s="149">
        <f>SUM(Model_Mthly!$Q56,-IF(AND(leveraged_property,B56&lt;=amort_period),-PMT(AR$3/12,amort_period,loan_amount),0))</f>
        <v>145835.53285297033</v>
      </c>
      <c r="AS56" s="162">
        <f>AS55+IF(AND(leveraged_property,$B56&lt;=amort_period),PPMT(AS$3/12,$B56,amort_period,loan_amount),0)</f>
        <v>8939957.3243685514</v>
      </c>
      <c r="AT56" s="149">
        <f ca="1">SUM(AR56,Model_Mthly!$AA56,-AS56)</f>
        <v>19309562.897173598</v>
      </c>
      <c r="AU56" s="149">
        <f>SUM(Model_Mthly!$Q56,-IF(AND(leveraged_property,B56&lt;=amort_period),-PMT(AU$3/12,amort_period,loan_amount),0))</f>
        <v>144299.69870197505</v>
      </c>
      <c r="AV56" s="162">
        <f>AV55+IF(AND(leveraged_property,$B56&lt;=amort_period),PPMT(AV$3/12,$B56,amort_period,loan_amount),0)</f>
        <v>8963254.3571717869</v>
      </c>
      <c r="AW56" s="149">
        <f ca="1">SUM(AU56,Model_Mthly!$AA56,-AV56)</f>
        <v>19284730.030219369</v>
      </c>
      <c r="AX56" s="103"/>
      <c r="AY56" s="288">
        <f ca="1">IF(AND(leveraged_property,down_payment&gt;0),IRR(($AC$4:AC55,AE56),),"N/A")</f>
        <v>1.7785252300812331E-2</v>
      </c>
      <c r="AZ56" s="288">
        <f ca="1">IF(AND(leveraged_property,down_payment&gt;0),IRR(($AF$4:AF55,AH56),),"N/A")</f>
        <v>1.7660586775690008E-2</v>
      </c>
      <c r="BA56" s="288">
        <f ca="1">IF(AND(leveraged_property,down_payment&gt;0),IRR(($AI$4:AI55,AK56),),"N/A")</f>
        <v>1.7535135209929414E-2</v>
      </c>
      <c r="BB56" s="303">
        <f ca="1">IF(AND(leveraged_property,down_payment&gt;0),IRR(($AL$4:AL55,AN56),),"N/A")</f>
        <v>1.7408926772810331E-2</v>
      </c>
      <c r="BC56" s="288">
        <f ca="1">IF(AND(leveraged_property,down_payment&gt;0),IRR(($AO$4:AO55,AQ56),),"N/A")</f>
        <v>1.7281990548103657E-2</v>
      </c>
      <c r="BD56" s="288">
        <f ca="1">IF(AND(leveraged_property,down_payment&gt;0),IRR(($AR$4:AR55,AT56),),"N/A")</f>
        <v>1.7154355469699869E-2</v>
      </c>
      <c r="BE56" s="288">
        <f ca="1">IF(AND(leveraged_property,down_payment&gt;0),IRR(($AU$4:AU55,AW56),),"N/A")</f>
        <v>1.7026050260284007E-2</v>
      </c>
      <c r="BF56" s="103"/>
      <c r="BG56" s="290">
        <f ca="1">IF(AND(leveraged_property,down_payment&gt;0),((1+AY56)^12)-1,"N/A")</f>
        <v>0.23558846125019528</v>
      </c>
      <c r="BH56" s="290">
        <f ca="1">IF(AND(leveraged_property,down_payment&gt;0),((1+AZ56)^12)-1,"N/A")</f>
        <v>0.23377356103166114</v>
      </c>
      <c r="BI56" s="290">
        <f ca="1">IF(AND(leveraged_property,down_payment&gt;0),((1+BA56)^12)-1,"N/A")</f>
        <v>0.23194968463960808</v>
      </c>
      <c r="BJ56" s="305">
        <f ca="1">IF(AND(leveraged_property,down_payment&gt;0),((1+BB56)^12)-1,"N/A")</f>
        <v>0.23011729872855868</v>
      </c>
      <c r="BK56" s="290">
        <f ca="1">IF(AND(leveraged_property,down_payment&gt;0),((1+BC56)^12)-1,"N/A")</f>
        <v>0.22827686657072133</v>
      </c>
      <c r="BL56" s="290">
        <f ca="1">IF(AND(leveraged_property,down_payment&gt;0),((1+BD56)^12)-1,"N/A")</f>
        <v>0.22642884710495248</v>
      </c>
      <c r="BM56" s="290">
        <f ca="1">IF(AND(leveraged_property,down_payment&gt;0),((1+BE56)^12)-1,"N/A")</f>
        <v>0.22457369403909033</v>
      </c>
    </row>
    <row r="57" spans="1:65">
      <c r="A57" s="137">
        <f>Model_Mthly!A57</f>
        <v>41774</v>
      </c>
      <c r="B57" s="138">
        <f>Model_Mthly!B57</f>
        <v>53</v>
      </c>
      <c r="C57" s="223"/>
      <c r="D57" s="139">
        <f>Model_Mthly!AQ57</f>
        <v>143588.51409451719</v>
      </c>
      <c r="E57" s="231">
        <f>IF(OR($H$3&lt;=0.0075,$H$3=""),0,SUM(Model_Mthly!AQ57,(SUM(Model_Mthly!Q58:Q69)/$E$3)*(1-cost_of_sale),-Model_Mthly!V57))</f>
        <v>22273548.64330709</v>
      </c>
      <c r="F57" s="231">
        <f>IF(OR($H$3&lt;=0.0075,$H$3=""),0,SUM(Model_Mthly!AQ57,(SUM(Model_Mthly!Q58:Q69)/$F$3)*(1-cost_of_sale),-Model_Mthly!V57))</f>
        <v>21239956.874532938</v>
      </c>
      <c r="G57" s="231">
        <f>IF(OR($H$3&lt;=0.0075,$H$3=""),0,SUM(Model_Mthly!AQ57,(SUM(Model_Mthly!Q58:Q69)/$G$3)*(1-cost_of_sale),-Model_Mthly!V57))</f>
        <v>20273048.445679702</v>
      </c>
      <c r="H57" s="232">
        <f>IF(OR($H$3&lt;=0.0075,$H$3=""),0,SUM(Model_Mthly!AQ57,(SUM(Model_Mthly!Q58:Q69)/$H$3)*(1-cost_of_sale),-Model_Mthly!V57))</f>
        <v>19366571.793629788</v>
      </c>
      <c r="I57" s="231">
        <f>IF(OR($H$3&lt;=0.0075,$H$3=""),0,SUM(Model_Mthly!AQ57,(SUM(Model_Mthly!Q58:Q69)/$I$3)*(1-cost_of_sale),-Model_Mthly!V57))</f>
        <v>18515033.120491996</v>
      </c>
      <c r="J57" s="231">
        <f>IF(OR($H$3&lt;=0.0075,$H$3=""),0,SUM(Model_Mthly!AQ57,(SUM(Model_Mthly!Q58:Q69)/$J$3)*(1-cost_of_sale),-Model_Mthly!V57))</f>
        <v>17713584.957538776</v>
      </c>
      <c r="K57" s="231">
        <f>IF(OR($H$3&lt;=0.0075,$H$3=""),0,SUM(Model_Mthly!AQ57,(SUM(Model_Mthly!Q58:Q69)/$K$3)*(1-cost_of_sale),-Model_Mthly!V57))</f>
        <v>16957933.832468599</v>
      </c>
      <c r="L57" s="160"/>
      <c r="M57" s="302">
        <f>IF(OR($H$3&lt;=0.0075,$H$3="",down_payment&lt;=0),"N/A",IRR(($D$4:D56,E57),))</f>
        <v>1.9514444084142341E-2</v>
      </c>
      <c r="N57" s="288">
        <f>IF(OR($H$3&lt;=0.0075,$H$3="",down_payment&lt;=0),"N/A",IRR(($D$4:D56,F57),))</f>
        <v>1.874417758494672E-2</v>
      </c>
      <c r="O57" s="288">
        <f>IF(OR($H$3&lt;=0.0075,$H$3="",down_payment&lt;=0),"N/A",IRR(($D$4:D56,G57),))</f>
        <v>1.7993354163264516E-2</v>
      </c>
      <c r="P57" s="303">
        <f>IF(OR($H$3&lt;=0.0075,$H$3="",down_payment&lt;=0),"N/A",IRR(($D$4:D56,H57),))</f>
        <v>1.7260592711104295E-2</v>
      </c>
      <c r="Q57" s="288">
        <f>IF(OR($H$3&lt;=0.0075,$H$3="",down_payment&lt;=0),"N/A",IRR(($D$4:D56,I57),))</f>
        <v>1.6544637040599875E-2</v>
      </c>
      <c r="R57" s="288">
        <f>IF(OR($H$3&lt;=0.0075,$H$3="",down_payment&lt;=0),"N/A",IRR(($D$4:D56,J57),))</f>
        <v>1.5844340699096366E-2</v>
      </c>
      <c r="S57" s="288">
        <f>IF(OR($H$3&lt;=0.0075,$H$3="",down_payment&lt;=0),"N/A",IRR(($D$4:D56,K57),))</f>
        <v>1.5158653989223636E-2</v>
      </c>
      <c r="T57" s="233"/>
      <c r="U57" s="304">
        <f t="shared" si="11"/>
        <v>0.26101599959773192</v>
      </c>
      <c r="V57" s="304">
        <f t="shared" si="12"/>
        <v>0.24963066996830441</v>
      </c>
      <c r="W57" s="304">
        <f t="shared" si="13"/>
        <v>0.23862349378969228</v>
      </c>
      <c r="X57" s="305">
        <f t="shared" si="14"/>
        <v>0.22796687078133226</v>
      </c>
      <c r="Y57" s="304">
        <f t="shared" si="15"/>
        <v>0.21763589434896691</v>
      </c>
      <c r="Z57" s="304">
        <f t="shared" si="16"/>
        <v>0.20760801184212085</v>
      </c>
      <c r="AA57" s="304">
        <f t="shared" si="17"/>
        <v>0.19786273603966831</v>
      </c>
      <c r="AB57" s="103"/>
      <c r="AC57" s="149">
        <f>SUM(Model_Mthly!$Q57,-IF(AND(leveraged_property,B57&lt;=amort_period),-PMT(AC$3/12,amort_period,loan_amount),0))</f>
        <v>147971.97225468629</v>
      </c>
      <c r="AD57" s="149">
        <f>AD56+IF(AND(leveraged_property,$B57&lt;=amort_period),PPMT(AD$3/12,$B57,amort_period,loan_amount),0)</f>
        <v>8796718.6700312197</v>
      </c>
      <c r="AE57" s="149">
        <f ca="1">SUM(AC57,Model_Mthly!$AA57,-AD57)</f>
        <v>19452029.515770696</v>
      </c>
      <c r="AF57" s="149">
        <f>SUM(Model_Mthly!$Q57,-IF(AND(leveraged_property,B57&lt;=amort_period),-PMT(AF$3/12,amort_period,loan_amount),0))</f>
        <v>146530.4150363293</v>
      </c>
      <c r="AG57" s="149">
        <f>AG56+IF(AND(leveraged_property,$B57&lt;=amort_period),PPMT(AG$3/12,$B57,amort_period,loan_amount),0)</f>
        <v>8824585.8873142246</v>
      </c>
      <c r="AH57" s="149">
        <f ca="1">SUM(AF57,Model_Mthly!$AA57,-AG57)</f>
        <v>19422720.741269335</v>
      </c>
      <c r="AI57" s="149">
        <f>SUM(Model_Mthly!$Q57,-IF(AND(leveraged_property,B57&lt;=amort_period),-PMT(AI$3/12,amort_period,loan_amount),0))</f>
        <v>145069.11751900258</v>
      </c>
      <c r="AJ57" s="149">
        <f>AJ56+IF(AND(leveraged_property,$B57&lt;=amort_period),PPMT(AJ$3/12,$B57,amort_period,loan_amount),0)</f>
        <v>8851607.3707127478</v>
      </c>
      <c r="AK57" s="149">
        <f ca="1">SUM(AI57,Model_Mthly!$AA57,-AJ57)</f>
        <v>19394237.960353486</v>
      </c>
      <c r="AL57" s="229">
        <f>SUM(Model_Mthly!$Q57,-IF(AND(leveraged_property,B57&lt;=amort_period),-PMT(AL$3/12,amort_period,loan_amount),0))</f>
        <v>143588.51409451719</v>
      </c>
      <c r="AM57" s="229">
        <f>AM56+IF(AND(leveraged_property,$B57&lt;=amort_period),PPMT(AM$3/12,$B57,amort_period,loan_amount),0)</f>
        <v>8877792.9340119567</v>
      </c>
      <c r="AN57" s="229">
        <f ca="1">SUM(AL57,Model_Mthly!$AA57,-AM57)</f>
        <v>19366571.793629788</v>
      </c>
      <c r="AO57" s="149">
        <f>SUM(Model_Mthly!$Q57,-IF(AND(leveraged_property,B57&lt;=amort_period),-PMT(AO$3/12,amort_period,loan_amount),0))</f>
        <v>142089.04786034499</v>
      </c>
      <c r="AP57" s="162">
        <f>AP56+IF(AND(leveraged_property,$B57&lt;=amort_period),PPMT(AP$3/12,$B57,amort_period,loan_amount),0)</f>
        <v>8903153.2532999553</v>
      </c>
      <c r="AQ57" s="149">
        <f ca="1">SUM(AO57,Model_Mthly!$AA57,-AP57)</f>
        <v>19339712.008107621</v>
      </c>
      <c r="AR57" s="149">
        <f>SUM(Model_Mthly!$Q57,-IF(AND(leveraged_property,B57&lt;=amort_period),-PMT(AR$3/12,amort_period,loan_amount),0))</f>
        <v>140571.16933297031</v>
      </c>
      <c r="AS57" s="162">
        <f>AS56+IF(AND(leveraged_property,$B57&lt;=amort_period),PPMT(AS$3/12,$B57,amort_period,loan_amount),0)</f>
        <v>8927699.8111008815</v>
      </c>
      <c r="AT57" s="149">
        <f ca="1">SUM(AR57,Model_Mthly!$AA57,-AS57)</f>
        <v>19313647.571779318</v>
      </c>
      <c r="AU57" s="149">
        <f>SUM(Model_Mthly!$Q57,-IF(AND(leveraged_property,B57&lt;=amort_period),-PMT(AU$3/12,amort_period,loan_amount),0))</f>
        <v>139035.33518197504</v>
      </c>
      <c r="AV57" s="162">
        <f>AV56+IF(AND(leveraged_property,$B57&lt;=amort_period),PPMT(AV$3/12,$B57,amort_period,loan_amount),0)</f>
        <v>8951444.8395748828</v>
      </c>
      <c r="AW57" s="149">
        <f ca="1">SUM(AU57,Model_Mthly!$AA57,-AV57)</f>
        <v>19288366.709154323</v>
      </c>
      <c r="AX57" s="103"/>
      <c r="AY57" s="288">
        <f ca="1">IF(AND(leveraged_property,down_payment&gt;0),IRR(($AC$4:AC56,AE57),),"N/A")</f>
        <v>1.7636335915546222E-2</v>
      </c>
      <c r="AZ57" s="288">
        <f ca="1">IF(AND(leveraged_property,down_payment&gt;0),IRR(($AF$4:AF56,AH57),),"N/A")</f>
        <v>1.7511872165428523E-2</v>
      </c>
      <c r="BA57" s="288">
        <f ca="1">IF(AND(leveraged_property,down_payment&gt;0),IRR(($AI$4:AI56,AK57),),"N/A")</f>
        <v>1.7386614615997706E-2</v>
      </c>
      <c r="BB57" s="303">
        <f ca="1">IF(AND(leveraged_property,down_payment&gt;0),IRR(($AL$4:AL56,AN57),),"N/A")</f>
        <v>1.7260592711104295E-2</v>
      </c>
      <c r="BC57" s="288">
        <f ca="1">IF(AND(leveraged_property,down_payment&gt;0),IRR(($AO$4:AO56,AQ57),),"N/A")</f>
        <v>1.7133835812862121E-2</v>
      </c>
      <c r="BD57" s="288">
        <f ca="1">IF(AND(leveraged_property,down_payment&gt;0),IRR(($AR$4:AR56,AT57),),"N/A")</f>
        <v>1.7006373136398162E-2</v>
      </c>
      <c r="BE57" s="288">
        <f ca="1">IF(AND(leveraged_property,down_payment&gt;0),IRR(($AU$4:AU56,AW57),),"N/A")</f>
        <v>1.6878233687666135E-2</v>
      </c>
      <c r="BF57" s="103"/>
      <c r="BG57" s="290">
        <f ca="1">IF(AND(leveraged_property,down_payment&gt;0),((1+AY57)^12)-1,"N/A")</f>
        <v>0.23342079725989651</v>
      </c>
      <c r="BH57" s="290">
        <f ca="1">IF(AND(leveraged_property,down_payment&gt;0),((1+AZ57)^12)-1,"N/A")</f>
        <v>0.23161174686040265</v>
      </c>
      <c r="BI57" s="290">
        <f ca="1">IF(AND(leveraged_property,down_payment&gt;0),((1+BA57)^12)-1,"N/A")</f>
        <v>0.22979361460435599</v>
      </c>
      <c r="BJ57" s="305">
        <f ca="1">IF(AND(leveraged_property,down_payment&gt;0),((1+BB57)^12)-1,"N/A")</f>
        <v>0.22796687078133226</v>
      </c>
      <c r="BK57" s="290">
        <f ca="1">IF(AND(leveraged_property,down_payment&gt;0),((1+BC57)^12)-1,"N/A")</f>
        <v>0.22613198234469611</v>
      </c>
      <c r="BL57" s="290">
        <f ca="1">IF(AND(leveraged_property,down_payment&gt;0),((1+BD57)^12)-1,"N/A")</f>
        <v>0.22428941194832319</v>
      </c>
      <c r="BM57" s="290">
        <f ca="1">IF(AND(leveraged_property,down_payment&gt;0),((1+BE57)^12)-1,"N/A")</f>
        <v>0.2224396170370524</v>
      </c>
    </row>
    <row r="58" spans="1:65">
      <c r="A58" s="137">
        <f>Model_Mthly!A58</f>
        <v>41805</v>
      </c>
      <c r="B58" s="138">
        <f>Model_Mthly!B58</f>
        <v>54</v>
      </c>
      <c r="C58" s="223"/>
      <c r="D58" s="139">
        <f>Model_Mthly!AQ58</f>
        <v>135477.42250154843</v>
      </c>
      <c r="E58" s="231">
        <f>IF(OR($H$3&lt;=0.0075,$H$3=""),0,SUM(Model_Mthly!AQ58,(SUM(Model_Mthly!Q59:Q70)/$E$3)*(1-cost_of_sale),-Model_Mthly!V58))</f>
        <v>22273396.05749679</v>
      </c>
      <c r="F58" s="231">
        <f>IF(OR($H$3&lt;=0.0075,$H$3=""),0,SUM(Model_Mthly!AQ58,(SUM(Model_Mthly!Q59:Q70)/$F$3)*(1-cost_of_sale),-Model_Mthly!V58))</f>
        <v>21239980.674224783</v>
      </c>
      <c r="G58" s="231">
        <f>IF(OR($H$3&lt;=0.0075,$H$3=""),0,SUM(Model_Mthly!AQ58,(SUM(Model_Mthly!Q59:Q70)/$G$3)*(1-cost_of_sale),-Model_Mthly!V58))</f>
        <v>20273237.251163874</v>
      </c>
      <c r="H58" s="232">
        <f>IF(OR($H$3&lt;=0.0075,$H$3=""),0,SUM(Model_Mthly!AQ58,(SUM(Model_Mthly!Q59:Q70)/$H$3)*(1-cost_of_sale),-Model_Mthly!V58))</f>
        <v>19366915.292044278</v>
      </c>
      <c r="I58" s="231">
        <f>IF(OR($H$3&lt;=0.0075,$H$3=""),0,SUM(Model_Mthly!AQ58,(SUM(Model_Mthly!Q59:Q70)/$I$3)*(1-cost_of_sale),-Model_Mthly!V58))</f>
        <v>18515521.93650768</v>
      </c>
      <c r="J58" s="231">
        <f>IF(OR($H$3&lt;=0.0075,$H$3=""),0,SUM(Model_Mthly!AQ58,(SUM(Model_Mthly!Q59:Q70)/$J$3)*(1-cost_of_sale),-Model_Mthly!V58))</f>
        <v>17714210.543061472</v>
      </c>
      <c r="K58" s="231">
        <f>IF(OR($H$3&lt;=0.0075,$H$3=""),0,SUM(Model_Mthly!AQ58,(SUM(Model_Mthly!Q59:Q70)/$K$3)*(1-cost_of_sale),-Model_Mthly!V58))</f>
        <v>16958688.372097909</v>
      </c>
      <c r="L58" s="160"/>
      <c r="M58" s="302">
        <f>IF(OR($H$3&lt;=0.0075,$H$3="",down_payment&lt;=0),"N/A",IRR(($D$4:D57,E58),))</f>
        <v>1.9310018667510295E-2</v>
      </c>
      <c r="N58" s="288">
        <f>IF(OR($H$3&lt;=0.0075,$H$3="",down_payment&lt;=0),"N/A",IRR(($D$4:D57,F58),))</f>
        <v>1.8558042974310414E-2</v>
      </c>
      <c r="O58" s="288">
        <f>IF(OR($H$3&lt;=0.0075,$H$3="",down_payment&lt;=0),"N/A",IRR(($D$4:D57,G58),))</f>
        <v>1.7825156719969329E-2</v>
      </c>
      <c r="P58" s="303">
        <f>IF(OR($H$3&lt;=0.0075,$H$3="",down_payment&lt;=0),"N/A",IRR(($D$4:D57,H58),))</f>
        <v>1.7110008084933924E-2</v>
      </c>
      <c r="Q58" s="288">
        <f>IF(OR($H$3&lt;=0.0075,$H$3="",down_payment&lt;=0),"N/A",IRR(($D$4:D57,I58),))</f>
        <v>1.6411367687572252E-2</v>
      </c>
      <c r="R58" s="288">
        <f>IF(OR($H$3&lt;=0.0075,$H$3="",down_payment&lt;=0),"N/A",IRR(($D$4:D57,J58),))</f>
        <v>1.5728113709811711E-2</v>
      </c>
      <c r="S58" s="288">
        <f>IF(OR($H$3&lt;=0.0075,$H$3="",down_payment&lt;=0),"N/A",IRR(($D$4:D57,K58),))</f>
        <v>1.5059219183224389E-2</v>
      </c>
      <c r="T58" s="233"/>
      <c r="U58" s="304">
        <f t="shared" si="11"/>
        <v>0.2579851494855927</v>
      </c>
      <c r="V58" s="304">
        <f t="shared" si="12"/>
        <v>0.2468935833627619</v>
      </c>
      <c r="W58" s="304">
        <f t="shared" si="13"/>
        <v>0.23616991286768707</v>
      </c>
      <c r="X58" s="305">
        <f t="shared" si="14"/>
        <v>0.22578734126538147</v>
      </c>
      <c r="Y58" s="304">
        <f t="shared" si="15"/>
        <v>0.21572168514942613</v>
      </c>
      <c r="Z58" s="304">
        <f t="shared" si="16"/>
        <v>0.20595104514159179</v>
      </c>
      <c r="AA58" s="304">
        <f t="shared" si="17"/>
        <v>0.19645552621555007</v>
      </c>
      <c r="AB58" s="103"/>
      <c r="AC58" s="149">
        <f>SUM(Model_Mthly!$Q58,-IF(AND(leveraged_property,B58&lt;=amort_period),-PMT(AC$3/12,amort_period,loan_amount),0))</f>
        <v>139860.88066171753</v>
      </c>
      <c r="AD58" s="149">
        <f>AD57+IF(AND(leveraged_property,$B58&lt;=amort_period),PPMT(AD$3/12,$B58,amort_period,loan_amount),0)</f>
        <v>8781982.5177989639</v>
      </c>
      <c r="AE58" s="149">
        <f ca="1">SUM(AC58,Model_Mthly!$AA58,-AD58)</f>
        <v>19453859.095570363</v>
      </c>
      <c r="AF58" s="149">
        <f>SUM(Model_Mthly!$Q58,-IF(AND(leveraged_property,B58&lt;=amort_period),-PMT(AF$3/12,amort_period,loan_amount),0))</f>
        <v>138419.32344336051</v>
      </c>
      <c r="AG58" s="149">
        <f>AG57+IF(AND(leveraged_property,$B58&lt;=amort_period),PPMT(AG$3/12,$B58,amort_period,loan_amount),0)</f>
        <v>8810356.9409918804</v>
      </c>
      <c r="AH58" s="149">
        <f ca="1">SUM(AF58,Model_Mthly!$AA58,-AG58)</f>
        <v>19424043.115159087</v>
      </c>
      <c r="AI58" s="149">
        <f>SUM(Model_Mthly!$Q58,-IF(AND(leveraged_property,B58&lt;=amort_period),-PMT(AI$3/12,amort_period,loan_amount),0))</f>
        <v>136958.02592603382</v>
      </c>
      <c r="AJ58" s="149">
        <f>AJ57+IF(AND(leveraged_property,$B58&lt;=amort_period),PPMT(AJ$3/12,$B58,amort_period,loan_amount),0)</f>
        <v>8837873.801256137</v>
      </c>
      <c r="AK58" s="149">
        <f ca="1">SUM(AI58,Model_Mthly!$AA58,-AJ58)</f>
        <v>19395064.957377508</v>
      </c>
      <c r="AL58" s="229">
        <f>SUM(Model_Mthly!$Q58,-IF(AND(leveraged_property,B58&lt;=amort_period),-PMT(AL$3/12,amort_period,loan_amount),0))</f>
        <v>135477.42250154843</v>
      </c>
      <c r="AM58" s="229">
        <f>AM57+IF(AND(leveraged_property,$B58&lt;=amort_period),PPMT(AM$3/12,$B58,amort_period,loan_amount),0)</f>
        <v>8864542.8631648794</v>
      </c>
      <c r="AN58" s="229">
        <f ca="1">SUM(AL58,Model_Mthly!$AA58,-AM58)</f>
        <v>19366915.292044278</v>
      </c>
      <c r="AO58" s="149">
        <f>SUM(Model_Mthly!$Q58,-IF(AND(leveraged_property,B58&lt;=amort_period),-PMT(AO$3/12,amort_period,loan_amount),0))</f>
        <v>133977.95626737623</v>
      </c>
      <c r="AP58" s="162">
        <f>AP57+IF(AND(leveraged_property,$B58&lt;=amort_period),PPMT(AP$3/12,$B58,amort_period,loan_amount),0)</f>
        <v>8890374.7746098805</v>
      </c>
      <c r="AQ58" s="149">
        <f ca="1">SUM(AO58,Model_Mthly!$AA58,-AP58)</f>
        <v>19339583.914365105</v>
      </c>
      <c r="AR58" s="149">
        <f>SUM(Model_Mthly!$Q58,-IF(AND(leveraged_property,B58&lt;=amort_period),-PMT(AR$3/12,amort_period,loan_amount),0))</f>
        <v>132460.07774000155</v>
      </c>
      <c r="AS58" s="162">
        <f>AS57+IF(AND(leveraged_property,$B58&lt;=amort_period),PPMT(AS$3/12,$B58,amort_period,loan_amount),0)</f>
        <v>8915381.010266874</v>
      </c>
      <c r="AT58" s="149">
        <f ca="1">SUM(AR58,Model_Mthly!$AA58,-AS58)</f>
        <v>19313059.800180737</v>
      </c>
      <c r="AU58" s="149">
        <f>SUM(Model_Mthly!$Q58,-IF(AND(leveraged_property,B58&lt;=amort_period),-PMT(AU$3/12,amort_period,loan_amount),0))</f>
        <v>130924.24358900626</v>
      </c>
      <c r="AV58" s="162">
        <f>AV57+IF(AND(leveraged_property,$B58&lt;=amort_period),PPMT(AV$3/12,$B58,amort_period,loan_amount),0)</f>
        <v>8939573.8140738271</v>
      </c>
      <c r="AW58" s="149">
        <f ca="1">SUM(AU58,Model_Mthly!$AA58,-AV58)</f>
        <v>19287331.162222788</v>
      </c>
      <c r="AX58" s="103"/>
      <c r="AY58" s="288">
        <f ca="1">IF(AND(leveraged_property,down_payment&gt;0),IRR(($AC$4:AC57,AE58),),"N/A")</f>
        <v>1.7485272631418674E-2</v>
      </c>
      <c r="AZ58" s="288">
        <f ca="1">IF(AND(leveraged_property,down_payment&gt;0),IRR(($AF$4:AF57,AH58),),"N/A")</f>
        <v>1.736097616900336E-2</v>
      </c>
      <c r="BA58" s="288">
        <f ca="1">IF(AND(leveraged_property,down_payment&gt;0),IRR(($AI$4:AI57,AK58),),"N/A")</f>
        <v>1.7235878080581121E-2</v>
      </c>
      <c r="BB58" s="303">
        <f ca="1">IF(AND(leveraged_property,down_payment&gt;0),IRR(($AL$4:AL57,AN58),),"N/A")</f>
        <v>1.7110008084933924E-2</v>
      </c>
      <c r="BC58" s="288">
        <f ca="1">IF(AND(leveraged_property,down_payment&gt;0),IRR(($AO$4:AO57,AQ58),),"N/A")</f>
        <v>1.6983395822929907E-2</v>
      </c>
      <c r="BD58" s="288">
        <f ca="1">IF(AND(leveraged_property,down_payment&gt;0),IRR(($AR$4:AR57,AT58),),"N/A")</f>
        <v>1.6856070791389274E-2</v>
      </c>
      <c r="BE58" s="288">
        <f ca="1">IF(AND(leveraged_property,down_payment&gt;0),IRR(($AU$4:AU57,AW58),),"N/A")</f>
        <v>1.6728062280035736E-2</v>
      </c>
      <c r="BF58" s="103"/>
      <c r="BG58" s="290">
        <f ca="1">IF(AND(leveraged_property,down_payment&gt;0),((1+AY58)^12)-1,"N/A")</f>
        <v>0.23122544467061745</v>
      </c>
      <c r="BH58" s="290">
        <f ca="1">IF(AND(leveraged_property,down_payment&gt;0),((1+AZ58)^12)-1,"N/A")</f>
        <v>0.22942177214203308</v>
      </c>
      <c r="BI58" s="290">
        <f ca="1">IF(AND(leveraged_property,down_payment&gt;0),((1+BA58)^12)-1,"N/A")</f>
        <v>0.22760891303406616</v>
      </c>
      <c r="BJ58" s="305">
        <f ca="1">IF(AND(leveraged_property,down_payment&gt;0),((1+BB58)^12)-1,"N/A")</f>
        <v>0.22578734126538147</v>
      </c>
      <c r="BK58" s="290">
        <f ca="1">IF(AND(leveraged_property,down_payment&gt;0),((1+BC58)^12)-1,"N/A")</f>
        <v>0.22395752746459241</v>
      </c>
      <c r="BL58" s="290">
        <f ca="1">IF(AND(leveraged_property,down_payment&gt;0),((1+BD58)^12)-1,"N/A")</f>
        <v>0.22211993799479957</v>
      </c>
      <c r="BM58" s="290">
        <f ca="1">IF(AND(leveraged_property,down_payment&gt;0),((1+BE58)^12)-1,"N/A")</f>
        <v>0.22027503403215709</v>
      </c>
    </row>
    <row r="59" spans="1:65">
      <c r="A59" s="137">
        <f>Model_Mthly!A59</f>
        <v>41835</v>
      </c>
      <c r="B59" s="138">
        <f>Model_Mthly!B59</f>
        <v>55</v>
      </c>
      <c r="C59" s="223"/>
      <c r="D59" s="139">
        <f>Model_Mthly!AQ59</f>
        <v>134514.34626996549</v>
      </c>
      <c r="E59" s="231">
        <f>IF(OR($H$3&lt;=0.0075,$H$3=""),0,SUM(Model_Mthly!AQ59,(SUM(Model_Mthly!Q60:Q71)/$E$3)*(1-cost_of_sale),-Model_Mthly!V59))</f>
        <v>22274557.555530094</v>
      </c>
      <c r="F59" s="231">
        <f>IF(OR($H$3&lt;=0.0075,$H$3=""),0,SUM(Model_Mthly!AQ59,(SUM(Model_Mthly!Q60:Q71)/$F$3)*(1-cost_of_sale),-Model_Mthly!V59))</f>
        <v>21241515.046460539</v>
      </c>
      <c r="G59" s="231">
        <f>IF(OR($H$3&lt;=0.0075,$H$3=""),0,SUM(Model_Mthly!AQ59,(SUM(Model_Mthly!Q60:Q71)/$G$3)*(1-cost_of_sale),-Model_Mthly!V59))</f>
        <v>20275120.441201925</v>
      </c>
      <c r="H59" s="232">
        <f>IF(OR($H$3&lt;=0.0075,$H$3=""),0,SUM(Model_Mthly!AQ59,(SUM(Model_Mthly!Q60:Q71)/$H$3)*(1-cost_of_sale),-Model_Mthly!V59))</f>
        <v>19369125.498771973</v>
      </c>
      <c r="I59" s="231">
        <f>IF(OR($H$3&lt;=0.0075,$H$3=""),0,SUM(Model_Mthly!AQ59,(SUM(Model_Mthly!Q60:Q71)/$I$3)*(1-cost_of_sale),-Model_Mthly!V59))</f>
        <v>18518039.340731718</v>
      </c>
      <c r="J59" s="231">
        <f>IF(OR($H$3&lt;=0.0075,$H$3=""),0,SUM(Model_Mthly!AQ59,(SUM(Model_Mthly!Q60:Q71)/$J$3)*(1-cost_of_sale),-Model_Mthly!V59))</f>
        <v>17717017.074340887</v>
      </c>
      <c r="K59" s="231">
        <f>IF(OR($H$3&lt;=0.0075,$H$3=""),0,SUM(Model_Mthly!AQ59,(SUM(Model_Mthly!Q60:Q71)/$K$3)*(1-cost_of_sale),-Model_Mthly!V59))</f>
        <v>16961767.50888668</v>
      </c>
      <c r="L59" s="160"/>
      <c r="M59" s="302">
        <f>IF(OR($H$3&lt;=0.0075,$H$3="",down_payment&lt;=0),"N/A",IRR(($D$4:D58,E59),))</f>
        <v>1.9108600821049544E-2</v>
      </c>
      <c r="N59" s="288">
        <f>IF(OR($H$3&lt;=0.0075,$H$3="",down_payment&lt;=0),"N/A",IRR(($D$4:D58,F59),))</f>
        <v>1.8374165172019577E-2</v>
      </c>
      <c r="O59" s="288">
        <f>IF(OR($H$3&lt;=0.0075,$H$3="",down_payment&lt;=0),"N/A",IRR(($D$4:D58,G59),))</f>
        <v>1.7658476116017879E-2</v>
      </c>
      <c r="P59" s="303">
        <f>IF(OR($H$3&lt;=0.0075,$H$3="",down_payment&lt;=0),"N/A",IRR(($D$4:D58,H59),))</f>
        <v>1.6960209946198571E-2</v>
      </c>
      <c r="Q59" s="288">
        <f>IF(OR($H$3&lt;=0.0075,$H$3="",down_payment&lt;=0),"N/A",IRR(($D$4:D58,I59),))</f>
        <v>1.6278163000652018E-2</v>
      </c>
      <c r="R59" s="288">
        <f>IF(OR($H$3&lt;=0.0075,$H$3="",down_payment&lt;=0),"N/A",IRR(($D$4:D58,J59),))</f>
        <v>1.5611237086629148E-2</v>
      </c>
      <c r="S59" s="288">
        <f>IF(OR($H$3&lt;=0.0075,$H$3="",down_payment&lt;=0),"N/A",IRR(($D$4:D58,K59),))</f>
        <v>1.4958427022338752E-2</v>
      </c>
      <c r="T59" s="233"/>
      <c r="U59" s="304">
        <f t="shared" si="11"/>
        <v>0.25500542250244251</v>
      </c>
      <c r="V59" s="304">
        <f t="shared" si="12"/>
        <v>0.24419507982528743</v>
      </c>
      <c r="W59" s="304">
        <f t="shared" si="13"/>
        <v>0.23374285476559753</v>
      </c>
      <c r="X59" s="305">
        <f t="shared" si="14"/>
        <v>0.2236227140906617</v>
      </c>
      <c r="Y59" s="304">
        <f t="shared" si="15"/>
        <v>0.21381116163216429</v>
      </c>
      <c r="Z59" s="304">
        <f t="shared" si="16"/>
        <v>0.20428691888082562</v>
      </c>
      <c r="AA59" s="304">
        <f t="shared" si="17"/>
        <v>0.19503065368643147</v>
      </c>
      <c r="AB59" s="103"/>
      <c r="AC59" s="149">
        <f>SUM(Model_Mthly!$Q59,-IF(AND(leveraged_property,B59&lt;=amort_period),-PMT(AC$3/12,amort_period,loan_amount),0))</f>
        <v>138897.80443013459</v>
      </c>
      <c r="AD59" s="149">
        <f>AD58+IF(AND(leveraged_property,$B59&lt;=amort_period),PPMT(AD$3/12,$B59,amort_period,loan_amount),0)</f>
        <v>8767188.0349641219</v>
      </c>
      <c r="AE59" s="149">
        <f ca="1">SUM(AC59,Model_Mthly!$AA59,-AD59)</f>
        <v>19457552.984794442</v>
      </c>
      <c r="AF59" s="149">
        <f>SUM(Model_Mthly!$Q59,-IF(AND(leveraged_property,B59&lt;=amort_period),-PMT(AF$3/12,amort_period,loan_amount),0))</f>
        <v>137456.24721177761</v>
      </c>
      <c r="AG59" s="149">
        <f>AG58+IF(AND(leveraged_property,$B59&lt;=amort_period),PPMT(AG$3/12,$B59,amort_period,loan_amount),0)</f>
        <v>8796068.7073931936</v>
      </c>
      <c r="AH59" s="149">
        <f ca="1">SUM(AF59,Model_Mthly!$AA59,-AG59)</f>
        <v>19427230.75514701</v>
      </c>
      <c r="AI59" s="149">
        <f>SUM(Model_Mthly!$Q59,-IF(AND(leveraged_property,B59&lt;=amort_period),-PMT(AI$3/12,amort_period,loan_amount),0))</f>
        <v>135994.94969445089</v>
      </c>
      <c r="AJ59" s="149">
        <f>AJ58+IF(AND(leveraged_property,$B59&lt;=amort_period),PPMT(AJ$3/12,$B59,amort_period,loan_amount),0)</f>
        <v>8824080.1474331524</v>
      </c>
      <c r="AK59" s="149">
        <f ca="1">SUM(AI59,Model_Mthly!$AA59,-AJ59)</f>
        <v>19397758.017589726</v>
      </c>
      <c r="AL59" s="229">
        <f>SUM(Model_Mthly!$Q59,-IF(AND(leveraged_property,B59&lt;=amort_period),-PMT(AL$3/12,amort_period,loan_amount),0))</f>
        <v>134514.34626996549</v>
      </c>
      <c r="AM59" s="229">
        <f>AM58+IF(AND(leveraged_property,$B59&lt;=amort_period),PPMT(AM$3/12,$B59,amort_period,loan_amount),0)</f>
        <v>8851232.0628264192</v>
      </c>
      <c r="AN59" s="229">
        <f ca="1">SUM(AL59,Model_Mthly!$AA59,-AM59)</f>
        <v>19369125.498771973</v>
      </c>
      <c r="AO59" s="149">
        <f>SUM(Model_Mthly!$Q59,-IF(AND(leveraged_property,B59&lt;=amort_period),-PMT(AO$3/12,amort_period,loan_amount),0))</f>
        <v>133014.88003579329</v>
      </c>
      <c r="AP59" s="162">
        <f>AP58+IF(AND(leveraged_property,$B59&lt;=amort_period),PPMT(AP$3/12,$B59,amort_period,loan_amount),0)</f>
        <v>8877535.0657094158</v>
      </c>
      <c r="AQ59" s="149">
        <f ca="1">SUM(AO59,Model_Mthly!$AA59,-AP59)</f>
        <v>19341323.029654805</v>
      </c>
      <c r="AR59" s="149">
        <f>SUM(Model_Mthly!$Q59,-IF(AND(leveraged_property,B59&lt;=amort_period),-PMT(AR$3/12,amort_period,loan_amount),0))</f>
        <v>131497.00150841862</v>
      </c>
      <c r="AS59" s="162">
        <f>AS58+IF(AND(leveraged_property,$B59&lt;=amort_period),PPMT(AS$3/12,$B59,amort_period,loan_amount),0)</f>
        <v>8903000.6154286955</v>
      </c>
      <c r="AT59" s="149">
        <f ca="1">SUM(AR59,Model_Mthly!$AA59,-AS59)</f>
        <v>19314339.601408154</v>
      </c>
      <c r="AU59" s="149">
        <f>SUM(Model_Mthly!$Q59,-IF(AND(leveraged_property,B59&lt;=amort_period),-PMT(AU$3/12,amort_period,loan_amount),0))</f>
        <v>129961.16735742333</v>
      </c>
      <c r="AV59" s="162">
        <f>AV58+IF(AND(leveraged_property,$B59&lt;=amort_period),PPMT(AV$3/12,$B59,amort_period,loan_amount),0)</f>
        <v>8927640.9603149537</v>
      </c>
      <c r="AW59" s="149">
        <f ca="1">SUM(AU59,Model_Mthly!$AA59,-AV59)</f>
        <v>19288163.422370896</v>
      </c>
      <c r="AX59" s="103"/>
      <c r="AY59" s="288">
        <f ca="1">IF(AND(leveraged_property,down_payment&gt;0),IRR(($AC$4:AC58,AE59),),"N/A")</f>
        <v>1.7335062473068125E-2</v>
      </c>
      <c r="AZ59" s="288">
        <f ca="1">IF(AND(leveraged_property,down_payment&gt;0),IRR(($AF$4:AF58,AH59),),"N/A")</f>
        <v>1.7210911112933849E-2</v>
      </c>
      <c r="BA59" s="288">
        <f ca="1">IF(AND(leveraged_property,down_payment&gt;0),IRR(($AI$4:AI58,AK59),),"N/A")</f>
        <v>1.7085950273228907E-2</v>
      </c>
      <c r="BB59" s="303">
        <f ca="1">IF(AND(leveraged_property,down_payment&gt;0),IRR(($AL$4:AL58,AN59),),"N/A")</f>
        <v>1.6960209946198571E-2</v>
      </c>
      <c r="BC59" s="288">
        <f ca="1">IF(AND(leveraged_property,down_payment&gt;0),IRR(($AO$4:AO58,AQ59),),"N/A")</f>
        <v>1.6833720050093256E-2</v>
      </c>
      <c r="BD59" s="288">
        <f ca="1">IF(AND(leveraged_property,down_payment&gt;0),IRR(($AR$4:AR58,AT59),),"N/A")</f>
        <v>1.6706510362153475E-2</v>
      </c>
      <c r="BE59" s="288">
        <f ca="1">IF(AND(leveraged_property,down_payment&gt;0),IRR(($AU$4:AU58,AW59),),"N/A")</f>
        <v>1.657861045469634E-2</v>
      </c>
      <c r="BF59" s="103"/>
      <c r="BG59" s="290">
        <f ca="1">IF(AND(leveraged_property,down_payment&gt;0),((1+AY59)^12)-1,"N/A")</f>
        <v>0.22904604238755444</v>
      </c>
      <c r="BH59" s="290">
        <f ca="1">IF(AND(leveraged_property,down_payment&gt;0),((1+AZ59)^12)-1,"N/A")</f>
        <v>0.227247397650292</v>
      </c>
      <c r="BI59" s="290">
        <f ca="1">IF(AND(leveraged_property,down_payment&gt;0),((1+BA59)^12)-1,"N/A")</f>
        <v>0.22543946237641133</v>
      </c>
      <c r="BJ59" s="305">
        <f ca="1">IF(AND(leveraged_property,down_payment&gt;0),((1+BB59)^12)-1,"N/A")</f>
        <v>0.2236227140906617</v>
      </c>
      <c r="BK59" s="290">
        <f ca="1">IF(AND(leveraged_property,down_payment&gt;0),((1+BC59)^12)-1,"N/A")</f>
        <v>0.22179762707495154</v>
      </c>
      <c r="BL59" s="290">
        <f ca="1">IF(AND(leveraged_property,down_payment&gt;0),((1+BD59)^12)-1,"N/A")</f>
        <v>0.21996467138069131</v>
      </c>
      <c r="BM59" s="290">
        <f ca="1">IF(AND(leveraged_property,down_payment&gt;0),((1+BE59)^12)-1,"N/A")</f>
        <v>0.21812431189547921</v>
      </c>
    </row>
    <row r="60" spans="1:65">
      <c r="A60" s="137">
        <f>Model_Mthly!A60</f>
        <v>41866</v>
      </c>
      <c r="B60" s="138">
        <f>Model_Mthly!B60</f>
        <v>56</v>
      </c>
      <c r="C60" s="223"/>
      <c r="D60" s="139">
        <f>Model_Mthly!AQ60</f>
        <v>148852.8776145172</v>
      </c>
      <c r="E60" s="231">
        <f>IF(OR($H$3&lt;=0.0075,$H$3=""),0,SUM(Model_Mthly!AQ60,(SUM(Model_Mthly!Q61:Q72)/$E$3)*(1-cost_of_sale),-Model_Mthly!V60))</f>
        <v>22301846.840535052</v>
      </c>
      <c r="F60" s="231">
        <f>IF(OR($H$3&lt;=0.0075,$H$3=""),0,SUM(Model_Mthly!AQ60,(SUM(Model_Mthly!Q61:Q72)/$F$3)*(1-cost_of_sale),-Model_Mthly!V60))</f>
        <v>21268818.366615929</v>
      </c>
      <c r="G60" s="231">
        <f>IF(OR($H$3&lt;=0.0075,$H$3=""),0,SUM(Model_Mthly!AQ60,(SUM(Model_Mthly!Q61:Q72)/$G$3)*(1-cost_of_sale),-Model_Mthly!V60))</f>
        <v>20302436.891014174</v>
      </c>
      <c r="H60" s="232">
        <f>IF(OR($H$3&lt;=0.0075,$H$3=""),0,SUM(Model_Mthly!AQ60,(SUM(Model_Mthly!Q61:Q72)/$H$3)*(1-cost_of_sale),-Model_Mthly!V60))</f>
        <v>19396454.257637523</v>
      </c>
      <c r="I60" s="231">
        <f>IF(OR($H$3&lt;=0.0075,$H$3=""),0,SUM(Model_Mthly!AQ60,(SUM(Model_Mthly!Q61:Q72)/$I$3)*(1-cost_of_sale),-Model_Mthly!V60))</f>
        <v>18545379.662647337</v>
      </c>
      <c r="J60" s="231">
        <f>IF(OR($H$3&lt;=0.0075,$H$3=""),0,SUM(Model_Mthly!AQ60,(SUM(Model_Mthly!Q61:Q72)/$J$3)*(1-cost_of_sale),-Model_Mthly!V60))</f>
        <v>17744368.279127166</v>
      </c>
      <c r="K60" s="231">
        <f>IF(OR($H$3&lt;=0.0075,$H$3=""),0,SUM(Model_Mthly!AQ60,(SUM(Model_Mthly!Q61:Q72)/$K$3)*(1-cost_of_sale),-Model_Mthly!V60))</f>
        <v>16989128.974665284</v>
      </c>
      <c r="L60" s="160"/>
      <c r="M60" s="302">
        <f>IF(OR($H$3&lt;=0.0075,$H$3="",down_payment&lt;=0),"N/A",IRR(($D$4:D59,E60),))</f>
        <v>1.8931822789427264E-2</v>
      </c>
      <c r="N60" s="288">
        <f>IF(OR($H$3&lt;=0.0075,$H$3="",down_payment&lt;=0),"N/A",IRR(($D$4:D59,F60),))</f>
        <v>1.8214740450828402E-2</v>
      </c>
      <c r="O60" s="288">
        <f>IF(OR($H$3&lt;=0.0075,$H$3="",down_payment&lt;=0),"N/A",IRR(($D$4:D59,G60),))</f>
        <v>1.7516081667571213E-2</v>
      </c>
      <c r="P60" s="303">
        <f>IF(OR($H$3&lt;=0.0075,$H$3="",down_payment&lt;=0),"N/A",IRR(($D$4:D59,H60),))</f>
        <v>1.6834550009714414E-2</v>
      </c>
      <c r="Q60" s="288">
        <f>IF(OR($H$3&lt;=0.0075,$H$3="",down_payment&lt;=0),"N/A",IRR(($D$4:D59,I60),))</f>
        <v>1.6168966796381686E-2</v>
      </c>
      <c r="R60" s="288">
        <f>IF(OR($H$3&lt;=0.0075,$H$3="",down_payment&lt;=0),"N/A",IRR(($D$4:D59,J60),))</f>
        <v>1.5518256807728543E-2</v>
      </c>
      <c r="S60" s="288">
        <f>IF(OR($H$3&lt;=0.0075,$H$3="",down_payment&lt;=0),"N/A",IRR(($D$4:D59,K60),))</f>
        <v>1.4881436073251465E-2</v>
      </c>
      <c r="T60" s="233"/>
      <c r="U60" s="304">
        <f t="shared" si="11"/>
        <v>0.25239554346479864</v>
      </c>
      <c r="V60" s="304">
        <f t="shared" si="12"/>
        <v>0.24185977208731213</v>
      </c>
      <c r="W60" s="304">
        <f t="shared" si="13"/>
        <v>0.23167289119175227</v>
      </c>
      <c r="X60" s="305">
        <f t="shared" si="14"/>
        <v>0.22180959419085089</v>
      </c>
      <c r="Y60" s="304">
        <f t="shared" si="15"/>
        <v>0.21224703940792145</v>
      </c>
      <c r="Z60" s="304">
        <f t="shared" si="16"/>
        <v>0.20296454003487385</v>
      </c>
      <c r="AA60" s="304">
        <f t="shared" si="17"/>
        <v>0.19394330076074073</v>
      </c>
      <c r="AB60" s="103"/>
      <c r="AC60" s="149">
        <f>SUM(Model_Mthly!$Q60,-IF(AND(leveraged_property,B60&lt;=amort_period),-PMT(AC$3/12,amort_period,loan_amount),0))</f>
        <v>153236.3357746863</v>
      </c>
      <c r="AD60" s="149">
        <f>AD59+IF(AND(leveraged_property,$B60&lt;=amort_period),PPMT(AD$3/12,$B60,amort_period,loan_amount),0)</f>
        <v>8752334.9906347264</v>
      </c>
      <c r="AE60" s="149">
        <f ca="1">SUM(AC60,Model_Mthly!$AA60,-AD60)</f>
        <v>19486362.979816042</v>
      </c>
      <c r="AF60" s="149">
        <f>SUM(Model_Mthly!$Q60,-IF(AND(leveraged_property,B60&lt;=amort_period),-PMT(AF$3/12,amort_period,loan_amount),0))</f>
        <v>151794.77855632931</v>
      </c>
      <c r="AG60" s="149">
        <f>AG59+IF(AND(leveraged_property,$B60&lt;=amort_period),PPMT(AG$3/12,$B60,amort_period,loan_amount),0)</f>
        <v>8781720.9394878447</v>
      </c>
      <c r="AH60" s="149">
        <f ca="1">SUM(AF60,Model_Mthly!$AA60,-AG60)</f>
        <v>19455535.473744564</v>
      </c>
      <c r="AI60" s="149">
        <f>SUM(Model_Mthly!$Q60,-IF(AND(leveraged_property,B60&lt;=amort_period),-PMT(AI$3/12,amort_period,loan_amount),0))</f>
        <v>150333.4810390026</v>
      </c>
      <c r="AJ60" s="149">
        <f>AJ59+IF(AND(leveraged_property,$B60&lt;=amort_period),PPMT(AJ$3/12,$B60,amort_period,loan_amount),0)</f>
        <v>8810226.1463746931</v>
      </c>
      <c r="AK60" s="149">
        <f ca="1">SUM(AI60,Model_Mthly!$AA60,-AJ60)</f>
        <v>19425568.969340391</v>
      </c>
      <c r="AL60" s="229">
        <f>SUM(Model_Mthly!$Q60,-IF(AND(leveraged_property,B60&lt;=amort_period),-PMT(AL$3/12,amort_period,loan_amount),0))</f>
        <v>148852.8776145172</v>
      </c>
      <c r="AM60" s="229">
        <f>AM59+IF(AND(leveraged_property,$B60&lt;=amort_period),PPMT(AM$3/12,$B60,amort_period,loan_amount),0)</f>
        <v>8837860.2546530757</v>
      </c>
      <c r="AN60" s="229">
        <f ca="1">SUM(AL60,Model_Mthly!$AA60,-AM60)</f>
        <v>19396454.257637523</v>
      </c>
      <c r="AO60" s="149">
        <f>SUM(Model_Mthly!$Q60,-IF(AND(leveraged_property,B60&lt;=amort_period),-PMT(AO$3/12,amort_period,loan_amount),0))</f>
        <v>147353.411380345</v>
      </c>
      <c r="AP60" s="162">
        <f>AP59+IF(AND(leveraged_property,$B60&lt;=amort_period),PPMT(AP$3/12,$B60,amort_period,loan_amount),0)</f>
        <v>8864633.8332038019</v>
      </c>
      <c r="AQ60" s="149">
        <f ca="1">SUM(AO60,Model_Mthly!$AA60,-AP60)</f>
        <v>19368181.212852627</v>
      </c>
      <c r="AR60" s="149">
        <f>SUM(Model_Mthly!$Q60,-IF(AND(leveraged_property,B60&lt;=amort_period),-PMT(AR$3/12,amort_period,loan_amount),0))</f>
        <v>145835.53285297033</v>
      </c>
      <c r="AS60" s="162">
        <f>AS59+IF(AND(leveraged_property,$B60&lt;=amort_period),PPMT(AS$3/12,$B60,amort_period,loan_amount),0)</f>
        <v>8890558.3186163269</v>
      </c>
      <c r="AT60" s="149">
        <f ca="1">SUM(AR60,Model_Mthly!$AA60,-AS60)</f>
        <v>19340738.848912723</v>
      </c>
      <c r="AU60" s="149">
        <f>SUM(Model_Mthly!$Q60,-IF(AND(leveraged_property,B60&lt;=amort_period),-PMT(AU$3/12,amort_period,loan_amount),0))</f>
        <v>144299.69870197505</v>
      </c>
      <c r="AV60" s="162">
        <f>AV59+IF(AND(leveraged_property,$B60&lt;=amort_period),PPMT(AV$3/12,$B60,amort_period,loan_amount),0)</f>
        <v>8915645.9562760871</v>
      </c>
      <c r="AW60" s="149">
        <f ca="1">SUM(AU60,Model_Mthly!$AA60,-AV60)</f>
        <v>19314115.377101965</v>
      </c>
      <c r="AX60" s="103"/>
      <c r="AY60" s="288">
        <f ca="1">IF(AND(leveraged_property,down_payment&gt;0),IRR(($AC$4:AC59,AE60),),"N/A")</f>
        <v>1.7208778875652905E-2</v>
      </c>
      <c r="AZ60" s="288">
        <f ca="1">IF(AND(leveraged_property,down_payment&gt;0),IRR(($AF$4:AF59,AH60),),"N/A")</f>
        <v>1.7084842821473326E-2</v>
      </c>
      <c r="BA60" s="288">
        <f ca="1">IF(AND(leveraged_property,down_payment&gt;0),IRR(($AI$4:AI59,AK60),),"N/A")</f>
        <v>1.696008978365917E-2</v>
      </c>
      <c r="BB60" s="303">
        <f ca="1">IF(AND(leveraged_property,down_payment&gt;0),IRR(($AL$4:AL59,AN60),),"N/A")</f>
        <v>1.6834550009714414E-2</v>
      </c>
      <c r="BC60" s="288">
        <f ca="1">IF(AND(leveraged_property,down_payment&gt;0),IRR(($AO$4:AO59,AQ60),),"N/A")</f>
        <v>1.6708253677517125E-2</v>
      </c>
      <c r="BD60" s="288">
        <f ca="1">IF(AND(leveraged_property,down_payment&gt;0),IRR(($AR$4:AR59,AT60),),"N/A")</f>
        <v>1.6581230827452238E-2</v>
      </c>
      <c r="BE60" s="288">
        <f ca="1">IF(AND(leveraged_property,down_payment&gt;0),IRR(($AU$4:AU59,AW60),),"N/A")</f>
        <v>1.6453511297662093E-2</v>
      </c>
      <c r="BF60" s="103"/>
      <c r="BG60" s="290">
        <f ca="1">IF(AND(leveraged_property,down_payment&gt;0),((1+AY60)^12)-1,"N/A")</f>
        <v>0.22721652791670199</v>
      </c>
      <c r="BH60" s="290">
        <f ca="1">IF(AND(leveraged_property,down_payment&gt;0),((1+AZ60)^12)-1,"N/A")</f>
        <v>0.22542345066818137</v>
      </c>
      <c r="BI60" s="290">
        <f ca="1">IF(AND(leveraged_property,down_payment&gt;0),((1+BA60)^12)-1,"N/A")</f>
        <v>0.22362097911402712</v>
      </c>
      <c r="BJ60" s="305">
        <f ca="1">IF(AND(leveraged_property,down_payment&gt;0),((1+BB60)^12)-1,"N/A")</f>
        <v>0.22180959419085089</v>
      </c>
      <c r="BK60" s="290">
        <f ca="1">IF(AND(leveraged_property,down_payment&gt;0),((1+BC60)^12)-1,"N/A")</f>
        <v>0.21998977364794525</v>
      </c>
      <c r="BL60" s="290">
        <f ca="1">IF(AND(leveraged_property,down_payment&gt;0),((1+BD60)^12)-1,"N/A")</f>
        <v>0.21816199104764622</v>
      </c>
      <c r="BM60" s="290">
        <f ca="1">IF(AND(leveraged_property,down_payment&gt;0),((1+BE60)^12)-1,"N/A")</f>
        <v>0.21632671482029564</v>
      </c>
    </row>
    <row r="61" spans="1:65">
      <c r="A61" s="137">
        <f>Model_Mthly!A61</f>
        <v>41897</v>
      </c>
      <c r="B61" s="138">
        <f>Model_Mthly!B61</f>
        <v>57</v>
      </c>
      <c r="C61" s="223"/>
      <c r="D61" s="139">
        <f>Model_Mthly!AQ61</f>
        <v>148852.8776145172</v>
      </c>
      <c r="E61" s="231">
        <f>IF(OR($H$3&lt;=0.0075,$H$3=""),0,SUM(Model_Mthly!AQ61,(SUM(Model_Mthly!Q62:Q73)/$E$3)*(1-cost_of_sale),-Model_Mthly!V61))</f>
        <v>22314858.881649591</v>
      </c>
      <c r="F61" s="231">
        <f>IF(OR($H$3&lt;=0.0075,$H$3=""),0,SUM(Model_Mthly!AQ61,(SUM(Model_Mthly!Q62:Q73)/$F$3)*(1-cost_of_sale),-Model_Mthly!V61))</f>
        <v>21281844.442880899</v>
      </c>
      <c r="G61" s="231">
        <f>IF(OR($H$3&lt;=0.0075,$H$3=""),0,SUM(Model_Mthly!AQ61,(SUM(Model_Mthly!Q62:Q73)/$G$3)*(1-cost_of_sale),-Model_Mthly!V61))</f>
        <v>20315476.096935995</v>
      </c>
      <c r="H61" s="232">
        <f>IF(OR($H$3&lt;=0.0075,$H$3=""),0,SUM(Model_Mthly!AQ61,(SUM(Model_Mthly!Q62:Q73)/$H$3)*(1-cost_of_sale),-Model_Mthly!V61))</f>
        <v>19409505.772612646</v>
      </c>
      <c r="I61" s="231">
        <f>IF(OR($H$3&lt;=0.0075,$H$3=""),0,SUM(Model_Mthly!AQ61,(SUM(Model_Mthly!Q62:Q73)/$I$3)*(1-cost_of_sale),-Model_Mthly!V61))</f>
        <v>18558442.740672536</v>
      </c>
      <c r="J61" s="231">
        <f>IF(OR($H$3&lt;=0.0075,$H$3=""),0,SUM(Model_Mthly!AQ61,(SUM(Model_Mthly!Q62:Q73)/$J$3)*(1-cost_of_sale),-Model_Mthly!V61))</f>
        <v>17757442.240023017</v>
      </c>
      <c r="K61" s="231">
        <f>IF(OR($H$3&lt;=0.0075,$H$3=""),0,SUM(Model_Mthly!AQ61,(SUM(Model_Mthly!Q62:Q73)/$K$3)*(1-cost_of_sale),-Model_Mthly!V61))</f>
        <v>17002213.196553469</v>
      </c>
      <c r="L61" s="160"/>
      <c r="M61" s="302">
        <f>IF(OR($H$3&lt;=0.0075,$H$3="",down_payment&lt;=0),"N/A",IRR(($D$4:D60,E61),))</f>
        <v>1.8761597446141413E-2</v>
      </c>
      <c r="N61" s="288">
        <f>IF(OR($H$3&lt;=0.0075,$H$3="",down_payment&lt;=0),"N/A",IRR(($D$4:D60,F61),))</f>
        <v>1.8061227339783381E-2</v>
      </c>
      <c r="O61" s="288">
        <f>IF(OR($H$3&lt;=0.0075,$H$3="",down_payment&lt;=0),"N/A",IRR(($D$4:D60,G61),))</f>
        <v>1.7378967721319465E-2</v>
      </c>
      <c r="P61" s="303">
        <f>IF(OR($H$3&lt;=0.0075,$H$3="",down_payment&lt;=0),"N/A",IRR(($D$4:D60,H61),))</f>
        <v>1.671354839115826E-2</v>
      </c>
      <c r="Q61" s="288">
        <f>IF(OR($H$3&lt;=0.0075,$H$3="",down_payment&lt;=0),"N/A",IRR(($D$4:D60,I61),))</f>
        <v>1.6063814682882687E-2</v>
      </c>
      <c r="R61" s="288">
        <f>IF(OR($H$3&lt;=0.0075,$H$3="",down_payment&lt;=0),"N/A",IRR(($D$4:D60,J61),))</f>
        <v>1.5428713452247804E-2</v>
      </c>
      <c r="S61" s="288">
        <f>IF(OR($H$3&lt;=0.0075,$H$3="",down_payment&lt;=0),"N/A",IRR(($D$4:D60,K61),))</f>
        <v>1.4807281102784951E-2</v>
      </c>
      <c r="T61" s="233"/>
      <c r="U61" s="304">
        <f t="shared" si="11"/>
        <v>0.24988710852060025</v>
      </c>
      <c r="V61" s="304">
        <f t="shared" si="12"/>
        <v>0.23961485758728607</v>
      </c>
      <c r="W61" s="304">
        <f t="shared" si="13"/>
        <v>0.22968269849796563</v>
      </c>
      <c r="X61" s="305">
        <f t="shared" si="14"/>
        <v>0.22006601595039421</v>
      </c>
      <c r="Y61" s="304">
        <f t="shared" si="15"/>
        <v>0.21074259099769432</v>
      </c>
      <c r="Z61" s="304">
        <f t="shared" si="16"/>
        <v>0.20169229989018089</v>
      </c>
      <c r="AA61" s="304">
        <f t="shared" si="17"/>
        <v>0.19289685822752567</v>
      </c>
      <c r="AB61" s="103"/>
      <c r="AC61" s="149">
        <f>SUM(Model_Mthly!$Q61,-IF(AND(leveraged_property,B61&lt;=amort_period),-PMT(AC$3/12,amort_period,loan_amount),0))</f>
        <v>153236.3357746863</v>
      </c>
      <c r="AD61" s="149">
        <f>AD60+IF(AND(leveraged_property,$B61&lt;=amort_period),PPMT(AD$3/12,$B61,amort_period,loan_amount),0)</f>
        <v>8737423.1530048586</v>
      </c>
      <c r="AE61" s="149">
        <f ca="1">SUM(AC61,Model_Mthly!$AA61,-AD61)</f>
        <v>19500893.236793563</v>
      </c>
      <c r="AF61" s="149">
        <f>SUM(Model_Mthly!$Q61,-IF(AND(leveraged_property,B61&lt;=amort_period),-PMT(AF$3/12,amort_period,loan_amount),0))</f>
        <v>151794.77855632931</v>
      </c>
      <c r="AG61" s="149">
        <f>AG60+IF(AND(leveraged_property,$B61&lt;=amort_period),PPMT(AG$3/12,$B61,amort_period,loan_amount),0)</f>
        <v>8767313.3892162237</v>
      </c>
      <c r="AH61" s="149">
        <f ca="1">SUM(AF61,Model_Mthly!$AA61,-AG61)</f>
        <v>19469561.443363838</v>
      </c>
      <c r="AI61" s="149">
        <f>SUM(Model_Mthly!$Q61,-IF(AND(leveraged_property,B61&lt;=amort_period),-PMT(AI$3/12,amort_period,loan_amount),0))</f>
        <v>150333.4810390026</v>
      </c>
      <c r="AJ61" s="149">
        <f>AJ60+IF(AND(leveraged_property,$B61&lt;=amort_period),PPMT(AJ$3/12,$B61,amort_period,loan_amount),0)</f>
        <v>8796311.5340616032</v>
      </c>
      <c r="AK61" s="149">
        <f ca="1">SUM(AI61,Model_Mthly!$AA61,-AJ61)</f>
        <v>19439102.001001135</v>
      </c>
      <c r="AL61" s="229">
        <f>SUM(Model_Mthly!$Q61,-IF(AND(leveraged_property,B61&lt;=amort_period),-PMT(AL$3/12,amort_period,loan_amount),0))</f>
        <v>148852.8776145172</v>
      </c>
      <c r="AM61" s="229">
        <f>AM60+IF(AND(leveraged_property,$B61&lt;=amort_period),PPMT(AM$3/12,$B61,amort_period,loan_amount),0)</f>
        <v>8824427.1590256039</v>
      </c>
      <c r="AN61" s="229">
        <f ca="1">SUM(AL61,Model_Mthly!$AA61,-AM61)</f>
        <v>19409505.772612646</v>
      </c>
      <c r="AO61" s="149">
        <f>SUM(Model_Mthly!$Q61,-IF(AND(leveraged_property,B61&lt;=amort_period),-PMT(AO$3/12,amort_period,loan_amount),0))</f>
        <v>147353.411380345</v>
      </c>
      <c r="AP61" s="162">
        <f>AP60+IF(AND(leveraged_property,$B61&lt;=amort_period),PPMT(AP$3/12,$B61,amort_period,loan_amount),0)</f>
        <v>8851670.7822924331</v>
      </c>
      <c r="AQ61" s="149">
        <f ca="1">SUM(AO61,Model_Mthly!$AA61,-AP61)</f>
        <v>19380762.683111645</v>
      </c>
      <c r="AR61" s="149">
        <f>SUM(Model_Mthly!$Q61,-IF(AND(leveraged_property,B61&lt;=amort_period),-PMT(AR$3/12,amort_period,loan_amount),0))</f>
        <v>145835.53285297033</v>
      </c>
      <c r="AS61" s="162">
        <f>AS60+IF(AND(leveraged_property,$B61&lt;=amort_period),PPMT(AS$3/12,$B61,amort_period,loan_amount),0)</f>
        <v>8878053.8103198968</v>
      </c>
      <c r="AT61" s="149">
        <f ca="1">SUM(AR61,Model_Mthly!$AA61,-AS61)</f>
        <v>19352861.776556809</v>
      </c>
      <c r="AU61" s="149">
        <f>SUM(Model_Mthly!$Q61,-IF(AND(leveraged_property,B61&lt;=amort_period),-PMT(AU$3/12,amort_period,loan_amount),0))</f>
        <v>144299.69870197505</v>
      </c>
      <c r="AV61" s="162">
        <f>AV60+IF(AND(leveraged_property,$B61&lt;=amort_period),PPMT(AV$3/12,$B61,amort_period,loan_amount),0)</f>
        <v>8903588.4782578517</v>
      </c>
      <c r="AW61" s="149">
        <f ca="1">SUM(AU61,Model_Mthly!$AA61,-AV61)</f>
        <v>19325791.274467856</v>
      </c>
      <c r="AX61" s="103"/>
      <c r="AY61" s="288">
        <f ca="1">IF(AND(leveraged_property,down_payment&gt;0),IRR(($AC$4:AC60,AE61),),"N/A")</f>
        <v>1.7087165539774088E-2</v>
      </c>
      <c r="AZ61" s="288">
        <f ca="1">IF(AND(leveraged_property,down_payment&gt;0),IRR(($AF$4:AF60,AH61),),"N/A")</f>
        <v>1.6963440760663508E-2</v>
      </c>
      <c r="BA61" s="288">
        <f ca="1">IF(AND(leveraged_property,down_payment&gt;0),IRR(($AI$4:AI60,AK61),),"N/A")</f>
        <v>1.6838891545198433E-2</v>
      </c>
      <c r="BB61" s="303">
        <f ca="1">IF(AND(leveraged_property,down_payment&gt;0),IRR(($AL$4:AL60,AN61),),"N/A")</f>
        <v>1.671354839115826E-2</v>
      </c>
      <c r="BC61" s="288">
        <f ca="1">IF(AND(leveraged_property,down_payment&gt;0),IRR(($AO$4:AO60,AQ61),),"N/A")</f>
        <v>1.658744173121764E-2</v>
      </c>
      <c r="BD61" s="288">
        <f ca="1">IF(AND(leveraged_property,down_payment&gt;0),IRR(($AR$4:AR60,AT61),),"N/A")</f>
        <v>1.646060186423522E-2</v>
      </c>
      <c r="BE61" s="288">
        <f ca="1">IF(AND(leveraged_property,down_payment&gt;0),IRR(($AU$4:AU60,AW61),),"N/A")</f>
        <v>1.6333058889676035E-2</v>
      </c>
      <c r="BF61" s="103"/>
      <c r="BG61" s="290">
        <f ca="1">IF(AND(leveraged_property,down_payment&gt;0),((1+AY61)^12)-1,"N/A")</f>
        <v>0.22545703310818599</v>
      </c>
      <c r="BH61" s="290">
        <f ca="1">IF(AND(leveraged_property,down_payment&gt;0),((1+AZ61)^12)-1,"N/A")</f>
        <v>0.2236693633145308</v>
      </c>
      <c r="BI61" s="290">
        <f ca="1">IF(AND(leveraged_property,down_payment&gt;0),((1+BA61)^12)-1,"N/A")</f>
        <v>0.22187219616608522</v>
      </c>
      <c r="BJ61" s="305">
        <f ca="1">IF(AND(leveraged_property,down_payment&gt;0),((1+BB61)^12)-1,"N/A")</f>
        <v>0.22006601595039421</v>
      </c>
      <c r="BK61" s="290">
        <f ca="1">IF(AND(leveraged_property,down_payment&gt;0),((1+BC61)^12)-1,"N/A")</f>
        <v>0.21825130382550761</v>
      </c>
      <c r="BL61" s="290">
        <f ca="1">IF(AND(leveraged_property,down_payment&gt;0),((1+BD61)^12)-1,"N/A")</f>
        <v>0.21642853680842444</v>
      </c>
      <c r="BM61" s="290">
        <f ca="1">IF(AND(leveraged_property,down_payment&gt;0),((1+BE61)^12)-1,"N/A")</f>
        <v>0.21459818681844411</v>
      </c>
    </row>
    <row r="62" spans="1:65">
      <c r="A62" s="137">
        <f>Model_Mthly!A62</f>
        <v>41927</v>
      </c>
      <c r="B62" s="138">
        <f>Model_Mthly!B62</f>
        <v>58</v>
      </c>
      <c r="C62" s="223"/>
      <c r="D62" s="139">
        <f>Model_Mthly!AQ62</f>
        <v>148852.8776145172</v>
      </c>
      <c r="E62" s="231">
        <f>IF(OR($H$3&lt;=0.0075,$H$3=""),0,SUM(Model_Mthly!AQ62,(SUM(Model_Mthly!Q63:Q74)/$E$3)*(1-cost_of_sale),-Model_Mthly!V62))</f>
        <v>22327932.491119087</v>
      </c>
      <c r="F62" s="231">
        <f>IF(OR($H$3&lt;=0.0075,$H$3=""),0,SUM(Model_Mthly!AQ62,(SUM(Model_Mthly!Q63:Q74)/$F$3)*(1-cost_of_sale),-Model_Mthly!V62))</f>
        <v>21294932.087500826</v>
      </c>
      <c r="G62" s="231">
        <f>IF(OR($H$3&lt;=0.0075,$H$3=""),0,SUM(Model_Mthly!AQ62,(SUM(Model_Mthly!Q63:Q74)/$G$3)*(1-cost_of_sale),-Model_Mthly!V62))</f>
        <v>20328576.871212777</v>
      </c>
      <c r="H62" s="232">
        <f>IF(OR($H$3&lt;=0.0075,$H$3=""),0,SUM(Model_Mthly!AQ62,(SUM(Model_Mthly!Q63:Q74)/$H$3)*(1-cost_of_sale),-Model_Mthly!V62))</f>
        <v>19422618.85594273</v>
      </c>
      <c r="I62" s="231">
        <f>IF(OR($H$3&lt;=0.0075,$H$3=""),0,SUM(Model_Mthly!AQ62,(SUM(Model_Mthly!Q63:Q74)/$I$3)*(1-cost_of_sale),-Model_Mthly!V62))</f>
        <v>18571567.387052689</v>
      </c>
      <c r="J62" s="231">
        <f>IF(OR($H$3&lt;=0.0075,$H$3=""),0,SUM(Model_Mthly!AQ62,(SUM(Model_Mthly!Q63:Q74)/$J$3)*(1-cost_of_sale),-Model_Mthly!V62))</f>
        <v>17770577.769273825</v>
      </c>
      <c r="K62" s="231">
        <f>IF(OR($H$3&lt;=0.0075,$H$3=""),0,SUM(Model_Mthly!AQ62,(SUM(Model_Mthly!Q63:Q74)/$K$3)*(1-cost_of_sale),-Model_Mthly!V62))</f>
        <v>17015358.986796614</v>
      </c>
      <c r="L62" s="160"/>
      <c r="M62" s="302">
        <f>IF(OR($H$3&lt;=0.0075,$H$3="",down_payment&lt;=0),"N/A",IRR(($D$4:D61,E62),))</f>
        <v>1.8597573379073203E-2</v>
      </c>
      <c r="N62" s="288">
        <f>IF(OR($H$3&lt;=0.0075,$H$3="",down_payment&lt;=0),"N/A",IRR(($D$4:D61,F62),))</f>
        <v>1.7913308434097653E-2</v>
      </c>
      <c r="O62" s="288">
        <f>IF(OR($H$3&lt;=0.0075,$H$3="",down_payment&lt;=0),"N/A",IRR(($D$4:D61,G62),))</f>
        <v>1.7246850415333026E-2</v>
      </c>
      <c r="P62" s="303">
        <f>IF(OR($H$3&lt;=0.0075,$H$3="",down_payment&lt;=0),"N/A",IRR(($D$4:D61,H62),))</f>
        <v>1.6596954366775805E-2</v>
      </c>
      <c r="Q62" s="288">
        <f>IF(OR($H$3&lt;=0.0075,$H$3="",down_payment&lt;=0),"N/A",IRR(($D$4:D61,I62),))</f>
        <v>1.5962488725616834E-2</v>
      </c>
      <c r="R62" s="288">
        <f>IF(OR($H$3&lt;=0.0075,$H$3="",down_payment&lt;=0),"N/A",IRR(($D$4:D61,J62),))</f>
        <v>1.5342421578155113E-2</v>
      </c>
      <c r="S62" s="288">
        <f>IF(OR($H$3&lt;=0.0075,$H$3="",down_payment&lt;=0),"N/A",IRR(($D$4:D61,K62),))</f>
        <v>1.473580891400038E-2</v>
      </c>
      <c r="T62" s="233"/>
      <c r="U62" s="304">
        <f t="shared" si="11"/>
        <v>0.24747441306844697</v>
      </c>
      <c r="V62" s="304">
        <f t="shared" si="12"/>
        <v>0.23745527020159729</v>
      </c>
      <c r="W62" s="304">
        <f t="shared" si="13"/>
        <v>0.22776782054435296</v>
      </c>
      <c r="X62" s="305">
        <f t="shared" si="14"/>
        <v>0.21838810713399348</v>
      </c>
      <c r="Y62" s="304">
        <f t="shared" si="15"/>
        <v>0.20929450415466189</v>
      </c>
      <c r="Z62" s="304">
        <f t="shared" si="16"/>
        <v>0.20046742421779973</v>
      </c>
      <c r="AA62" s="304">
        <f t="shared" si="17"/>
        <v>0.19188906966184582</v>
      </c>
      <c r="AB62" s="103"/>
      <c r="AC62" s="149">
        <f>SUM(Model_Mthly!$Q62,-IF(AND(leveraged_property,B62&lt;=amort_period),-PMT(AC$3/12,amort_period,loan_amount),0))</f>
        <v>153236.3357746863</v>
      </c>
      <c r="AD62" s="149">
        <f>AD61+IF(AND(leveraged_property,$B62&lt;=amort_period),PPMT(AD$3/12,$B62,amort_period,loan_amount),0)</f>
        <v>8722452.2893510405</v>
      </c>
      <c r="AE62" s="149">
        <f ca="1">SUM(AC62,Model_Mthly!$AA62,-AD62)</f>
        <v>19515482.51979503</v>
      </c>
      <c r="AF62" s="149">
        <f>SUM(Model_Mthly!$Q62,-IF(AND(leveraged_property,B62&lt;=amort_period),-PMT(AF$3/12,amort_period,loan_amount),0))</f>
        <v>151794.77855632931</v>
      </c>
      <c r="AG62" s="149">
        <f>AG61+IF(AND(leveraged_property,$B62&lt;=amort_period),PPMT(AG$3/12,$B62,amort_period,loan_amount),0)</f>
        <v>8752845.807485139</v>
      </c>
      <c r="AH62" s="149">
        <f ca="1">SUM(AF62,Model_Mthly!$AA62,-AG62)</f>
        <v>19483647.444442578</v>
      </c>
      <c r="AI62" s="149">
        <f>SUM(Model_Mthly!$Q62,-IF(AND(leveraged_property,B62&lt;=amort_period),-PMT(AI$3/12,amort_period,loan_amount),0))</f>
        <v>150333.4810390026</v>
      </c>
      <c r="AJ62" s="149">
        <f>AJ61+IF(AND(leveraged_property,$B62&lt;=amort_period),PPMT(AJ$3/12,$B62,amort_period,loan_amount),0)</f>
        <v>8782336.0453196429</v>
      </c>
      <c r="AK62" s="149">
        <f ca="1">SUM(AI62,Model_Mthly!$AA62,-AJ62)</f>
        <v>19452695.909090746</v>
      </c>
      <c r="AL62" s="229">
        <f>SUM(Model_Mthly!$Q62,-IF(AND(leveraged_property,B62&lt;=amort_period),-PMT(AL$3/12,amort_period,loan_amount),0))</f>
        <v>148852.8776145172</v>
      </c>
      <c r="AM62" s="229">
        <f>AM61+IF(AND(leveraged_property,$B62&lt;=amort_period),PPMT(AM$3/12,$B62,amort_period,loan_amount),0)</f>
        <v>8810932.4950431734</v>
      </c>
      <c r="AN62" s="229">
        <f ca="1">SUM(AL62,Model_Mthly!$AA62,-AM62)</f>
        <v>19422618.85594273</v>
      </c>
      <c r="AO62" s="149">
        <f>SUM(Model_Mthly!$Q62,-IF(AND(leveraged_property,B62&lt;=amort_period),-PMT(AO$3/12,amort_period,loan_amount),0))</f>
        <v>147353.411380345</v>
      </c>
      <c r="AP62" s="162">
        <f>AP61+IF(AND(leveraged_property,$B62&lt;=amort_period),PPMT(AP$3/12,$B62,amort_period,loan_amount),0)</f>
        <v>8838645.6167621128</v>
      </c>
      <c r="AQ62" s="149">
        <f ca="1">SUM(AO62,Model_Mthly!$AA62,-AP62)</f>
        <v>19393406.267989617</v>
      </c>
      <c r="AR62" s="149">
        <f>SUM(Model_Mthly!$Q62,-IF(AND(leveraged_property,B62&lt;=amort_period),-PMT(AR$3/12,amort_period,loan_amount),0))</f>
        <v>145835.53285297033</v>
      </c>
      <c r="AS62" s="162">
        <f>AS61+IF(AND(leveraged_property,$B62&lt;=amort_period),PPMT(AS$3/12,$B62,amort_period,loan_amount),0)</f>
        <v>8865486.7794819847</v>
      </c>
      <c r="AT62" s="149">
        <f ca="1">SUM(AR62,Model_Mthly!$AA62,-AS62)</f>
        <v>19365047.226742372</v>
      </c>
      <c r="AU62" s="149">
        <f>SUM(Model_Mthly!$Q62,-IF(AND(leveraged_property,B62&lt;=amort_period),-PMT(AU$3/12,amort_period,loan_amount),0))</f>
        <v>144299.69870197505</v>
      </c>
      <c r="AV62" s="162">
        <f>AV61+IF(AND(leveraged_property,$B62&lt;=amort_period),PPMT(AV$3/12,$B62,amort_period,loan_amount),0)</f>
        <v>8891468.2008749377</v>
      </c>
      <c r="AW62" s="149">
        <f ca="1">SUM(AU62,Model_Mthly!$AA62,-AV62)</f>
        <v>19337529.971198425</v>
      </c>
      <c r="AX62" s="103"/>
      <c r="AY62" s="288">
        <f ca="1">IF(AND(leveraged_property,down_payment&gt;0),IRR(($AC$4:AC61,AE62),),"N/A")</f>
        <v>1.6969971274843839E-2</v>
      </c>
      <c r="AZ62" s="288">
        <f ca="1">IF(AND(leveraged_property,down_payment&gt;0),IRR(($AF$4:AF61,AH62),),"N/A")</f>
        <v>1.6846453894848491E-2</v>
      </c>
      <c r="BA62" s="288">
        <f ca="1">IF(AND(leveraged_property,down_payment&gt;0),IRR(($AI$4:AI61,AK62),),"N/A")</f>
        <v>1.6722104677782214E-2</v>
      </c>
      <c r="BB62" s="303">
        <f ca="1">IF(AND(leveraged_property,down_payment&gt;0),IRR(($AL$4:AL61,AN62),),"N/A")</f>
        <v>1.6596954366775805E-2</v>
      </c>
      <c r="BC62" s="288">
        <f ca="1">IF(AND(leveraged_property,down_payment&gt;0),IRR(($AO$4:AO61,AQ62),),"N/A")</f>
        <v>1.6471033644523719E-2</v>
      </c>
      <c r="BD62" s="288">
        <f ca="1">IF(AND(leveraged_property,down_payment&gt;0),IRR(($AR$4:AR61,AT62),),"N/A")</f>
        <v>1.6344373063735821E-2</v>
      </c>
      <c r="BE62" s="288">
        <f ca="1">IF(AND(leveraged_property,down_payment&gt;0),IRR(($AU$4:AU61,AW62),),"N/A")</f>
        <v>1.6217002980740275E-2</v>
      </c>
      <c r="BF62" s="103"/>
      <c r="BG62" s="290">
        <f ca="1">IF(AND(leveraged_property,down_payment&gt;0),((1+AY62)^12)-1,"N/A")</f>
        <v>0.22376366136364445</v>
      </c>
      <c r="BH62" s="290">
        <f ca="1">IF(AND(leveraged_property,down_payment&gt;0),((1+AZ62)^12)-1,"N/A")</f>
        <v>0.22198124710217471</v>
      </c>
      <c r="BI62" s="290">
        <f ca="1">IF(AND(leveraged_property,down_payment&gt;0),((1+BA62)^12)-1,"N/A")</f>
        <v>0.22018923316632866</v>
      </c>
      <c r="BJ62" s="305">
        <f ca="1">IF(AND(leveraged_property,down_payment&gt;0),((1+BB62)^12)-1,"N/A")</f>
        <v>0.21838810713399348</v>
      </c>
      <c r="BK62" s="290">
        <f ca="1">IF(AND(leveraged_property,down_payment&gt;0),((1+BC62)^12)-1,"N/A")</f>
        <v>0.21657835351359123</v>
      </c>
      <c r="BL62" s="290">
        <f ca="1">IF(AND(leveraged_property,down_payment&gt;0),((1+BD62)^12)-1,"N/A")</f>
        <v>0.21476045272072031</v>
      </c>
      <c r="BM62" s="290">
        <f ca="1">IF(AND(leveraged_property,down_payment&gt;0),((1+BE62)^12)-1,"N/A")</f>
        <v>0.21293488010995087</v>
      </c>
    </row>
    <row r="63" spans="1:65">
      <c r="A63" s="137">
        <f>Model_Mthly!A63</f>
        <v>41958</v>
      </c>
      <c r="B63" s="138">
        <f>Model_Mthly!B63</f>
        <v>59</v>
      </c>
      <c r="C63" s="223"/>
      <c r="D63" s="139">
        <f>Model_Mthly!AQ63</f>
        <v>148852.8776145172</v>
      </c>
      <c r="E63" s="231">
        <f>IF(OR($H$3&lt;=0.0075,$H$3=""),0,SUM(Model_Mthly!AQ63,(SUM(Model_Mthly!Q64:Q75)/$E$3)*(1-cost_of_sale),-Model_Mthly!V63))</f>
        <v>22341067.951131836</v>
      </c>
      <c r="F63" s="231">
        <f>IF(OR($H$3&lt;=0.0075,$H$3=""),0,SUM(Model_Mthly!AQ63,(SUM(Model_Mthly!Q64:Q75)/$F$3)*(1-cost_of_sale),-Model_Mthly!V63))</f>
        <v>21308081.582664005</v>
      </c>
      <c r="G63" s="231">
        <f>IF(OR($H$3&lt;=0.0075,$H$3=""),0,SUM(Model_Mthly!AQ63,(SUM(Model_Mthly!Q64:Q75)/$G$3)*(1-cost_of_sale),-Model_Mthly!V63))</f>
        <v>20341739.496032812</v>
      </c>
      <c r="H63" s="232">
        <f>IF(OR($H$3&lt;=0.0075,$H$3=""),0,SUM(Model_Mthly!AQ63,(SUM(Model_Mthly!Q64:Q75)/$H$3)*(1-cost_of_sale),-Model_Mthly!V63))</f>
        <v>19435793.789816067</v>
      </c>
      <c r="I63" s="231">
        <f>IF(OR($H$3&lt;=0.0075,$H$3=""),0,SUM(Model_Mthly!AQ63,(SUM(Model_Mthly!Q64:Q75)/$I$3)*(1-cost_of_sale),-Model_Mthly!V63))</f>
        <v>18584753.883976094</v>
      </c>
      <c r="J63" s="231">
        <f>IF(OR($H$3&lt;=0.0075,$H$3=""),0,SUM(Model_Mthly!AQ63,(SUM(Model_Mthly!Q64:Q75)/$J$3)*(1-cost_of_sale),-Model_Mthly!V63))</f>
        <v>17783775.149067886</v>
      </c>
      <c r="K63" s="231">
        <f>IF(OR($H$3&lt;=0.0075,$H$3=""),0,SUM(Model_Mthly!AQ63,(SUM(Model_Mthly!Q64:Q75)/$K$3)*(1-cost_of_sale),-Model_Mthly!V63))</f>
        <v>17028566.627583005</v>
      </c>
      <c r="L63" s="160"/>
      <c r="M63" s="302">
        <f>IF(OR($H$3&lt;=0.0075,$H$3="",down_payment&lt;=0),"N/A",IRR(($D$4:D62,E63),))</f>
        <v>1.8439423762862891E-2</v>
      </c>
      <c r="N63" s="288">
        <f>IF(OR($H$3&lt;=0.0075,$H$3="",down_payment&lt;=0),"N/A",IRR(($D$4:D62,F63),))</f>
        <v>1.7770688566928202E-2</v>
      </c>
      <c r="O63" s="288">
        <f>IF(OR($H$3&lt;=0.0075,$H$3="",down_payment&lt;=0),"N/A",IRR(($D$4:D62,G63),))</f>
        <v>1.711946580436275E-2</v>
      </c>
      <c r="P63" s="303">
        <f>IF(OR($H$3&lt;=0.0075,$H$3="",down_payment&lt;=0),"N/A",IRR(($D$4:D62,H63),))</f>
        <v>1.6484534831219855E-2</v>
      </c>
      <c r="Q63" s="288">
        <f>IF(OR($H$3&lt;=0.0075,$H$3="",down_payment&lt;=0),"N/A",IRR(($D$4:D62,I63),))</f>
        <v>1.5864786328869247E-2</v>
      </c>
      <c r="R63" s="288">
        <f>IF(OR($H$3&lt;=0.0075,$H$3="",down_payment&lt;=0),"N/A",IRR(($D$4:D62,J63),))</f>
        <v>1.5259208817269478E-2</v>
      </c>
      <c r="S63" s="288">
        <f>IF(OR($H$3&lt;=0.0075,$H$3="",down_payment&lt;=0),"N/A",IRR(($D$4:D62,K63),))</f>
        <v>1.4666877129548292E-2</v>
      </c>
      <c r="T63" s="233"/>
      <c r="U63" s="304">
        <f t="shared" si="11"/>
        <v>0.24515217056710559</v>
      </c>
      <c r="V63" s="304">
        <f t="shared" si="12"/>
        <v>0.23537631395846348</v>
      </c>
      <c r="W63" s="304">
        <f t="shared" si="13"/>
        <v>0.2259241258284781</v>
      </c>
      <c r="X63" s="305">
        <f t="shared" si="14"/>
        <v>0.21677227681381983</v>
      </c>
      <c r="Y63" s="304">
        <f t="shared" si="15"/>
        <v>0.20789970660666546</v>
      </c>
      <c r="Z63" s="304">
        <f t="shared" si="16"/>
        <v>0.19928733925966502</v>
      </c>
      <c r="AA63" s="304">
        <f t="shared" si="17"/>
        <v>0.19091784128333233</v>
      </c>
      <c r="AB63" s="103"/>
      <c r="AC63" s="149">
        <f>SUM(Model_Mthly!$Q63,-IF(AND(leveraged_property,B63&lt;=amort_period),-PMT(AC$3/12,amort_period,loan_amount),0))</f>
        <v>153236.3357746863</v>
      </c>
      <c r="AD63" s="149">
        <f>AD62+IF(AND(leveraged_property,$B63&lt;=amort_period),PPMT(AD$3/12,$B63,amort_period,loan_amount),0)</f>
        <v>8707422.1660285927</v>
      </c>
      <c r="AE63" s="149">
        <f ca="1">SUM(AC63,Model_Mthly!$AA63,-AD63)</f>
        <v>19530131.062465135</v>
      </c>
      <c r="AF63" s="149">
        <f>SUM(Model_Mthly!$Q63,-IF(AND(leveraged_property,B63&lt;=amort_period),-PMT(AF$3/12,amort_period,loan_amount),0))</f>
        <v>151794.77855632931</v>
      </c>
      <c r="AG63" s="149">
        <f>AG62+IF(AND(leveraged_property,$B63&lt;=amort_period),PPMT(AG$3/12,$B63,amort_period,loan_amount),0)</f>
        <v>8738317.9441635069</v>
      </c>
      <c r="AH63" s="149">
        <f ca="1">SUM(AF63,Model_Mthly!$AA63,-AG63)</f>
        <v>19497793.727111861</v>
      </c>
      <c r="AI63" s="149">
        <f>SUM(Model_Mthly!$Q63,-IF(AND(leveraged_property,B63&lt;=amort_period),-PMT(AI$3/12,amort_period,loan_amount),0))</f>
        <v>150333.4810390026</v>
      </c>
      <c r="AJ63" s="149">
        <f>AJ62+IF(AND(leveraged_property,$B63&lt;=amort_period),PPMT(AJ$3/12,$B63,amort_period,loan_amount),0)</f>
        <v>8768299.4138144366</v>
      </c>
      <c r="AK63" s="149">
        <f ca="1">SUM(AI63,Model_Mthly!$AA63,-AJ63)</f>
        <v>19466350.959943607</v>
      </c>
      <c r="AL63" s="229">
        <f>SUM(Model_Mthly!$Q63,-IF(AND(leveraged_property,B63&lt;=amort_period),-PMT(AL$3/12,amort_period,loan_amount),0))</f>
        <v>148852.8776145172</v>
      </c>
      <c r="AM63" s="229">
        <f>AM62+IF(AND(leveraged_property,$B63&lt;=amort_period),PPMT(AM$3/12,$B63,amort_period,loan_amount),0)</f>
        <v>8797375.9805174898</v>
      </c>
      <c r="AN63" s="229">
        <f ca="1">SUM(AL63,Model_Mthly!$AA63,-AM63)</f>
        <v>19435793.789816067</v>
      </c>
      <c r="AO63" s="149">
        <f>SUM(Model_Mthly!$Q63,-IF(AND(leveraged_property,B63&lt;=amort_period),-PMT(AO$3/12,amort_period,loan_amount),0))</f>
        <v>147353.411380345</v>
      </c>
      <c r="AP63" s="162">
        <f>AP62+IF(AND(leveraged_property,$B63&lt;=amort_period),PPMT(AP$3/12,$B63,amort_period,loan_amount),0)</f>
        <v>8825558.038980294</v>
      </c>
      <c r="AQ63" s="149">
        <f ca="1">SUM(AO63,Model_Mthly!$AA63,-AP63)</f>
        <v>19406112.265119094</v>
      </c>
      <c r="AR63" s="149">
        <f>SUM(Model_Mthly!$Q63,-IF(AND(leveraged_property,B63&lt;=amort_period),-PMT(AR$3/12,amort_period,loan_amount),0))</f>
        <v>145835.53285297033</v>
      </c>
      <c r="AS63" s="162">
        <f>AS62+IF(AND(leveraged_property,$B63&lt;=amort_period),PPMT(AS$3/12,$B63,amort_period,loan_amount),0)</f>
        <v>8852856.9134898819</v>
      </c>
      <c r="AT63" s="149">
        <f ca="1">SUM(AR63,Model_Mthly!$AA63,-AS63)</f>
        <v>19377295.51208213</v>
      </c>
      <c r="AU63" s="149">
        <f>SUM(Model_Mthly!$Q63,-IF(AND(leveraged_property,B63&lt;=amort_period),-PMT(AU$3/12,amort_period,loan_amount),0))</f>
        <v>144299.69870197505</v>
      </c>
      <c r="AV63" s="162">
        <f>AV62+IF(AND(leveraged_property,$B63&lt;=amort_period),PPMT(AV$3/12,$B63,amort_period,loan_amount),0)</f>
        <v>8879284.7970473208</v>
      </c>
      <c r="AW63" s="149">
        <f ca="1">SUM(AU63,Model_Mthly!$AA63,-AV63)</f>
        <v>19349331.794373695</v>
      </c>
      <c r="AX63" s="103"/>
      <c r="AY63" s="288">
        <f ca="1">IF(AND(leveraged_property,down_payment&gt;0),IRR(($AC$4:AC62,AE63),),"N/A")</f>
        <v>1.6856962535128913E-2</v>
      </c>
      <c r="AZ63" s="288">
        <f ca="1">IF(AND(leveraged_property,down_payment&gt;0),IRR(($AF$4:AF62,AH63),),"N/A")</f>
        <v>1.6733648824462276E-2</v>
      </c>
      <c r="BA63" s="288">
        <f ca="1">IF(AND(leveraged_property,down_payment&gt;0),IRR(($AI$4:AI62,AK63),),"N/A")</f>
        <v>1.6609495928620464E-2</v>
      </c>
      <c r="BB63" s="303">
        <f ca="1">IF(AND(leveraged_property,down_payment&gt;0),IRR(($AL$4:AL62,AN63),),"N/A")</f>
        <v>1.6484534831219855E-2</v>
      </c>
      <c r="BC63" s="288">
        <f ca="1">IF(AND(leveraged_property,down_payment&gt;0),IRR(($AO$4:AO62,AQ63),),"N/A")</f>
        <v>1.6358796460249504E-2</v>
      </c>
      <c r="BD63" s="288">
        <f ca="1">IF(AND(leveraged_property,down_payment&gt;0),IRR(($AR$4:AR62,AT63),),"N/A")</f>
        <v>1.6232311617697257E-2</v>
      </c>
      <c r="BE63" s="288">
        <f ca="1">IF(AND(leveraged_property,down_payment&gt;0),IRR(($AU$4:AU62,AW63),),"N/A")</f>
        <v>1.6105110912338228E-2</v>
      </c>
      <c r="BF63" s="103"/>
      <c r="BG63" s="290">
        <f ca="1">IF(AND(leveraged_property,down_payment&gt;0),((1+AY63)^12)-1,"N/A")</f>
        <v>0.22213279908409378</v>
      </c>
      <c r="BH63" s="290">
        <f ca="1">IF(AND(leveraged_property,down_payment&gt;0),((1+AZ63)^12)-1,"N/A")</f>
        <v>0.2203554959802061</v>
      </c>
      <c r="BI63" s="290">
        <f ca="1">IF(AND(leveraged_property,down_payment&gt;0),((1+BA63)^12)-1,"N/A")</f>
        <v>0.21856849162078906</v>
      </c>
      <c r="BJ63" s="305">
        <f ca="1">IF(AND(leveraged_property,down_payment&gt;0),((1+BB63)^12)-1,"N/A")</f>
        <v>0.21677227681381983</v>
      </c>
      <c r="BK63" s="290">
        <f ca="1">IF(AND(leveraged_property,down_payment&gt;0),((1+BC63)^12)-1,"N/A")</f>
        <v>0.21496733935998935</v>
      </c>
      <c r="BL63" s="290">
        <f ca="1">IF(AND(leveraged_property,down_payment&gt;0),((1+BD63)^12)-1,"N/A")</f>
        <v>0.21315416301763812</v>
      </c>
      <c r="BM63" s="290">
        <f ca="1">IF(AND(leveraged_property,down_payment&gt;0),((1+BE63)^12)-1,"N/A")</f>
        <v>0.21133322652306274</v>
      </c>
    </row>
    <row r="64" spans="1:65">
      <c r="A64" s="137">
        <f>Model_Mthly!A64</f>
        <v>41988</v>
      </c>
      <c r="B64" s="138">
        <f>Model_Mthly!B64</f>
        <v>60</v>
      </c>
      <c r="C64" s="223"/>
      <c r="D64" s="183">
        <f>Model_Mthly!AQ64</f>
        <v>148852.8776145172</v>
      </c>
      <c r="E64" s="202">
        <f>IF(OR($H$3&lt;=0.0075,$H$3=""),0,SUM(Model_Mthly!AQ64,(SUM(Model_Mthly!Q65:Q76)/$E$3)*(1-cost_of_sale),-Model_Mthly!V64))</f>
        <v>22354265.545169495</v>
      </c>
      <c r="F64" s="202">
        <f>IF(OR($H$3&lt;=0.0075,$H$3=""),0,SUM(Model_Mthly!AQ64,(SUM(Model_Mthly!Q65:Q76)/$F$3)*(1-cost_of_sale),-Model_Mthly!V64))</f>
        <v>21321293.2118521</v>
      </c>
      <c r="G64" s="202">
        <f>IF(OR($H$3&lt;=0.0075,$H$3=""),0,SUM(Model_Mthly!AQ64,(SUM(Model_Mthly!Q65:Q76)/$G$3)*(1-cost_of_sale),-Model_Mthly!V64))</f>
        <v>20354964.254877757</v>
      </c>
      <c r="H64" s="202">
        <f>IF(OR($H$3&lt;=0.0075,$H$3=""),0,SUM(Model_Mthly!AQ64,(SUM(Model_Mthly!Q65:Q76)/$H$3)*(1-cost_of_sale),-Model_Mthly!V64))</f>
        <v>19449030.857714314</v>
      </c>
      <c r="I64" s="202">
        <f>IF(OR($H$3&lt;=0.0075,$H$3=""),0,SUM(Model_Mthly!AQ64,(SUM(Model_Mthly!Q65:Q76)/$I$3)*(1-cost_of_sale),-Model_Mthly!V64))</f>
        <v>18598002.514924418</v>
      </c>
      <c r="J64" s="202">
        <f>IF(OR($H$3&lt;=0.0075,$H$3=""),0,SUM(Model_Mthly!AQ64,(SUM(Model_Mthly!Q65:Q76)/$J$3)*(1-cost_of_sale),-Model_Mthly!V64))</f>
        <v>17797034.662886862</v>
      </c>
      <c r="K64" s="202">
        <f>IF(OR($H$3&lt;=0.0075,$H$3=""),0,SUM(Model_Mthly!AQ64,(SUM(Model_Mthly!Q65:Q76)/$K$3)*(1-cost_of_sale),-Model_Mthly!V64))</f>
        <v>17041836.402394313</v>
      </c>
      <c r="L64" s="160"/>
      <c r="M64" s="289">
        <f>IF(OR($H$3&lt;=0.0075,$H$3="",down_payment&lt;=0),"N/A",IRR(($D$4:D63,E64),))</f>
        <v>1.8286844252894684E-2</v>
      </c>
      <c r="N64" s="289">
        <f>IF(OR($H$3&lt;=0.0075,$H$3="",down_payment&lt;=0),"N/A",IRR(($D$4:D63,F64),))</f>
        <v>1.7633092901665242E-2</v>
      </c>
      <c r="O64" s="289">
        <f>IF(OR($H$3&lt;=0.0075,$H$3="",down_payment&lt;=0),"N/A",IRR(($D$4:D63,G64),))</f>
        <v>1.6996568148503248E-2</v>
      </c>
      <c r="P64" s="289">
        <f>IF(OR($H$3&lt;=0.0075,$H$3="",down_payment&lt;=0),"N/A",IRR(($D$4:D63,H64),))</f>
        <v>1.6376072781092137E-2</v>
      </c>
      <c r="Q64" s="289">
        <f>IF(OR($H$3&lt;=0.0075,$H$3="",down_payment&lt;=0),"N/A",IRR(($D$4:D63,I64),))</f>
        <v>1.5770518913095215E-2</v>
      </c>
      <c r="R64" s="289">
        <f>IF(OR($H$3&lt;=0.0075,$H$3="",down_payment&lt;=0),"N/A",IRR(($D$4:D63,J64),))</f>
        <v>1.5178914745740421E-2</v>
      </c>
      <c r="S64" s="289">
        <f>IF(OR($H$3&lt;=0.0075,$H$3="",down_payment&lt;=0),"N/A",IRR(($D$4:D63,K64),))</f>
        <v>1.4600353255003256E-2</v>
      </c>
      <c r="T64" s="233"/>
      <c r="U64" s="291">
        <f t="shared" si="11"/>
        <v>0.24291547506288591</v>
      </c>
      <c r="V64" s="291">
        <f t="shared" si="12"/>
        <v>0.23337362995051847</v>
      </c>
      <c r="W64" s="291">
        <f t="shared" si="13"/>
        <v>0.22414777854258783</v>
      </c>
      <c r="X64" s="291">
        <f t="shared" si="14"/>
        <v>0.21521519035274128</v>
      </c>
      <c r="Y64" s="291">
        <f t="shared" si="15"/>
        <v>0.20655534476622739</v>
      </c>
      <c r="Z64" s="291">
        <f t="shared" si="16"/>
        <v>0.1981496539837333</v>
      </c>
      <c r="AA64" s="291">
        <f t="shared" si="17"/>
        <v>0.18998122759060121</v>
      </c>
      <c r="AB64" s="103"/>
      <c r="AC64" s="186">
        <f>SUM(Model_Mthly!$Q64,-IF(AND(leveraged_property,B64&lt;=amort_period),-PMT(AC$3/12,amort_period,loan_amount),0))</f>
        <v>153236.3357746863</v>
      </c>
      <c r="AD64" s="186">
        <f>AD63+IF(AND(leveraged_property,$B64&lt;=amort_period),PPMT(AD$3/12,$B64,amort_period,loan_amount),0)</f>
        <v>8692332.5484679937</v>
      </c>
      <c r="AE64" s="186">
        <f ca="1">SUM(AC64,Model_Mthly!$AA64,-AD64)</f>
        <v>19544839.099373385</v>
      </c>
      <c r="AF64" s="186">
        <f>SUM(Model_Mthly!$Q64,-IF(AND(leveraged_property,B64&lt;=amort_period),-PMT(AF$3/12,amort_period,loan_amount),0))</f>
        <v>151794.77855632931</v>
      </c>
      <c r="AG64" s="186">
        <f>AG63+IF(AND(leveraged_property,$B64&lt;=amort_period),PPMT(AG$3/12,$B64,amort_period,loan_amount),0)</f>
        <v>8723729.5480780359</v>
      </c>
      <c r="AH64" s="186">
        <f ca="1">SUM(AF64,Model_Mthly!$AA64,-AG64)</f>
        <v>19512000.542544983</v>
      </c>
      <c r="AI64" s="186">
        <f>SUM(Model_Mthly!$Q64,-IF(AND(leveraged_property,B64&lt;=amort_period),-PMT(AI$3/12,amort_period,loan_amount),0))</f>
        <v>150333.4810390026</v>
      </c>
      <c r="AJ64" s="186">
        <f>AJ63+IF(AND(leveraged_property,$B64&lt;=amort_period),PPMT(AJ$3/12,$B64,amort_period,loan_amount),0)</f>
        <v>8754201.3720463943</v>
      </c>
      <c r="AK64" s="186">
        <f ca="1">SUM(AI64,Model_Mthly!$AA64,-AJ64)</f>
        <v>19480067.421059303</v>
      </c>
      <c r="AL64" s="186">
        <f>SUM(Model_Mthly!$Q64,-IF(AND(leveraged_property,B64&lt;=amort_period),-PMT(AL$3/12,amort_period,loan_amount),0))</f>
        <v>148852.8776145172</v>
      </c>
      <c r="AM64" s="186">
        <f>AM63+IF(AND(leveraged_property,$B64&lt;=amort_period),PPMT(AM$3/12,$B64,amort_period,loan_amount),0)</f>
        <v>8783757.3319668956</v>
      </c>
      <c r="AN64" s="186">
        <f ca="1">SUM(AL64,Model_Mthly!$AA64,-AM64)</f>
        <v>19449030.857714314</v>
      </c>
      <c r="AO64" s="186">
        <f>SUM(Model_Mthly!$Q64,-IF(AND(leveraged_property,B64&lt;=amort_period),-PMT(AO$3/12,amort_period,loan_amount),0))</f>
        <v>147353.411380345</v>
      </c>
      <c r="AP64" s="186">
        <f>AP63+IF(AND(leveraged_property,$B64&lt;=amort_period),PPMT(AP$3/12,$B64,amort_period,loan_amount),0)</f>
        <v>8812407.7498882711</v>
      </c>
      <c r="AQ64" s="186">
        <f ca="1">SUM(AO64,Model_Mthly!$AA64,-AP64)</f>
        <v>19418880.973558769</v>
      </c>
      <c r="AR64" s="186">
        <f>SUM(Model_Mthly!$Q64,-IF(AND(leveraged_property,B64&lt;=amort_period),-PMT(AR$3/12,amort_period,loan_amount),0))</f>
        <v>145835.53285297033</v>
      </c>
      <c r="AS64" s="186">
        <f>AS63+IF(AND(leveraged_property,$B64&lt;=amort_period),PPMT(AS$3/12,$B64,amort_period,loan_amount),0)</f>
        <v>8840163.8981678188</v>
      </c>
      <c r="AT64" s="186">
        <f ca="1">SUM(AR64,Model_Mthly!$AA64,-AS64)</f>
        <v>19389606.946751844</v>
      </c>
      <c r="AU64" s="186">
        <f>SUM(Model_Mthly!$Q64,-IF(AND(leveraged_property,B64&lt;=amort_period),-PMT(AU$3/12,amort_period,loan_amount),0))</f>
        <v>144299.69870197505</v>
      </c>
      <c r="AV64" s="186">
        <f>AV63+IF(AND(leveraged_property,$B64&lt;=amort_period),PPMT(AV$3/12,$B64,amort_period,loan_amount),0)</f>
        <v>8867037.9379914347</v>
      </c>
      <c r="AW64" s="186">
        <f ca="1">SUM(AU64,Model_Mthly!$AA64,-AV64)</f>
        <v>19361197.072777234</v>
      </c>
      <c r="AX64" s="103"/>
      <c r="AY64" s="289">
        <f ca="1">IF(AND(leveraged_property,down_payment&gt;0),IRR(($AC$4:AC63,AE64),),"N/A")</f>
        <v>1.6747921901508128E-2</v>
      </c>
      <c r="AZ64" s="289">
        <f ca="1">IF(AND(leveraged_property,down_payment&gt;0),IRR(($AF$4:AF63,AH64),),"N/A")</f>
        <v>1.6624808268381308E-2</v>
      </c>
      <c r="BA64" s="289">
        <f ca="1">IF(AND(leveraged_property,down_payment&gt;0),IRR(($AI$4:AI63,AK64),),"N/A")</f>
        <v>1.6500848155144215E-2</v>
      </c>
      <c r="BB64" s="289">
        <f ca="1">IF(AND(leveraged_property,down_payment&gt;0),IRR(($AL$4:AL63,AN64),),"N/A")</f>
        <v>1.6376072781092137E-2</v>
      </c>
      <c r="BC64" s="289">
        <f ca="1">IF(AND(leveraged_property,down_payment&gt;0),IRR(($AO$4:AO63,AQ64),),"N/A")</f>
        <v>1.6250513314838292E-2</v>
      </c>
      <c r="BD64" s="289">
        <f ca="1">IF(AND(leveraged_property,down_payment&gt;0),IRR(($AR$4:AR63,AT64),),"N/A")</f>
        <v>1.6124200803122542E-2</v>
      </c>
      <c r="BE64" s="289">
        <f ca="1">IF(AND(leveraged_property,down_payment&gt;0),IRR(($AU$4:AU63,AW64),),"N/A")</f>
        <v>1.5997166102791959E-2</v>
      </c>
      <c r="BF64" s="103"/>
      <c r="BG64" s="291">
        <f ca="1">IF(AND(leveraged_property,down_payment&gt;0),((1+AY64)^12)-1,"N/A")</f>
        <v>0.22056109050884842</v>
      </c>
      <c r="BH64" s="291">
        <f ca="1">IF(AND(leveraged_property,down_payment&gt;0),((1+AZ64)^12)-1,"N/A")</f>
        <v>0.21878876122097868</v>
      </c>
      <c r="BI64" s="291">
        <f ca="1">IF(AND(leveraged_property,down_payment&gt;0),((1+BA64)^12)-1,"N/A")</f>
        <v>0.21700662984286856</v>
      </c>
      <c r="BJ64" s="291">
        <f ca="1">IF(AND(leveraged_property,down_payment&gt;0),((1+BB64)^12)-1,"N/A")</f>
        <v>0.21521519035274128</v>
      </c>
      <c r="BK64" s="291">
        <f ca="1">IF(AND(leveraged_property,down_payment&gt;0),((1+BC64)^12)-1,"N/A")</f>
        <v>0.21341493378577248</v>
      </c>
      <c r="BL64" s="291">
        <f ca="1">IF(AND(leveraged_property,down_payment&gt;0),((1+BD64)^12)-1,"N/A")</f>
        <v>0.21160634718741633</v>
      </c>
      <c r="BM64" s="291">
        <f ca="1">IF(AND(leveraged_property,down_payment&gt;0),((1+BE64)^12)-1,"N/A")</f>
        <v>0.20978991262229507</v>
      </c>
    </row>
    <row r="65" spans="1:65">
      <c r="A65" s="137">
        <f>Model_Mthly!A65</f>
        <v>42019</v>
      </c>
      <c r="B65" s="138">
        <f>Model_Mthly!B65</f>
        <v>61</v>
      </c>
      <c r="C65" s="223"/>
      <c r="D65" s="139">
        <f>Model_Mthly!AQ65</f>
        <v>148837.70018727108</v>
      </c>
      <c r="E65" s="231">
        <f>IF(OR($H$3&lt;=0.0075,$H$3=""),0,SUM(Model_Mthly!AQ65,(SUM(Model_Mthly!Q66:Q77)/$E$3)*(1-cost_of_sale),-Model_Mthly!V65))</f>
        <v>22826516.823103644</v>
      </c>
      <c r="F65" s="231">
        <f>IF(OR($H$3&lt;=0.0075,$H$3=""),0,SUM(Model_Mthly!AQ65,(SUM(Model_Mthly!Q66:Q77)/$F$3)*(1-cost_of_sale),-Model_Mthly!V65))</f>
        <v>21778258.310186081</v>
      </c>
      <c r="G65" s="231">
        <f>IF(OR($H$3&lt;=0.0075,$H$3=""),0,SUM(Model_Mthly!AQ65,(SUM(Model_Mthly!Q66:Q77)/$G$3)*(1-cost_of_sale),-Model_Mthly!V65))</f>
        <v>20797629.378747068</v>
      </c>
      <c r="H65" s="232">
        <f>IF(OR($H$3&lt;=0.0075,$H$3=""),0,SUM(Model_Mthly!AQ65,(SUM(Model_Mthly!Q66:Q77)/$H$3)*(1-cost_of_sale),-Model_Mthly!V65))</f>
        <v>19878289.755523004</v>
      </c>
      <c r="I65" s="231">
        <f>IF(OR($H$3&lt;=0.0075,$H$3=""),0,SUM(Model_Mthly!AQ65,(SUM(Model_Mthly!Q66:Q77)/$I$3)*(1-cost_of_sale),-Model_Mthly!V65))</f>
        <v>19014667.685221598</v>
      </c>
      <c r="J65" s="231">
        <f>IF(OR($H$3&lt;=0.0075,$H$3=""),0,SUM(Model_Mthly!AQ65,(SUM(Model_Mthly!Q66:Q77)/$J$3)*(1-cost_of_sale),-Model_Mthly!V65))</f>
        <v>18201846.913173221</v>
      </c>
      <c r="K65" s="231">
        <f>IF(OR($H$3&lt;=0.0075,$H$3=""),0,SUM(Model_Mthly!AQ65,(SUM(Model_Mthly!Q66:Q77)/$K$3)*(1-cost_of_sale),-Model_Mthly!V65))</f>
        <v>17435473.042384751</v>
      </c>
      <c r="L65" s="160"/>
      <c r="M65" s="302">
        <f>IF(OR($H$3&lt;=0.0075,$H$3="",down_payment&lt;=0),"N/A",IRR(($D$4:D64,E65),))</f>
        <v>1.8415554943617799E-2</v>
      </c>
      <c r="N65" s="288">
        <f>IF(OR($H$3&lt;=0.0075,$H$3="",down_payment&lt;=0),"N/A",IRR(($D$4:D64,F65),))</f>
        <v>1.777802382032052E-2</v>
      </c>
      <c r="O65" s="288">
        <f>IF(OR($H$3&lt;=0.0075,$H$3="",down_payment&lt;=0),"N/A",IRR(($D$4:D64,G65),))</f>
        <v>1.7157486224032962E-2</v>
      </c>
      <c r="P65" s="303">
        <f>IF(OR($H$3&lt;=0.0075,$H$3="",down_payment&lt;=0),"N/A",IRR(($D$4:D64,H65),))</f>
        <v>1.6552767979462087E-2</v>
      </c>
      <c r="Q65" s="288">
        <f>IF(OR($H$3&lt;=0.0075,$H$3="",down_payment&lt;=0),"N/A",IRR(($D$4:D64,I65),))</f>
        <v>1.5962802387579248E-2</v>
      </c>
      <c r="R65" s="288">
        <f>IF(OR($H$3&lt;=0.0075,$H$3="",down_payment&lt;=0),"N/A",IRR(($D$4:D64,J65),))</f>
        <v>1.538661722317851E-2</v>
      </c>
      <c r="S65" s="288">
        <f>IF(OR($H$3&lt;=0.0075,$H$3="",down_payment&lt;=0),"N/A",IRR(($D$4:D64,K65),))</f>
        <v>1.4823323624412238E-2</v>
      </c>
      <c r="T65" s="233"/>
      <c r="U65" s="304">
        <f t="shared" si="11"/>
        <v>0.2448020291955002</v>
      </c>
      <c r="V65" s="304">
        <f t="shared" si="12"/>
        <v>0.23548316110129708</v>
      </c>
      <c r="W65" s="304">
        <f t="shared" si="13"/>
        <v>0.22647414657095188</v>
      </c>
      <c r="X65" s="305">
        <f t="shared" si="14"/>
        <v>0.21775277215101729</v>
      </c>
      <c r="Y65" s="304">
        <f t="shared" si="15"/>
        <v>0.20929898436335681</v>
      </c>
      <c r="Z65" s="304">
        <f t="shared" si="16"/>
        <v>0.2010946191560492</v>
      </c>
      <c r="AA65" s="304">
        <f t="shared" si="17"/>
        <v>0.19312317198768403</v>
      </c>
      <c r="AB65" s="103"/>
      <c r="AC65" s="149">
        <f>SUM(Model_Mthly!$Q65,-IF(AND(leveraged_property,B65&lt;=amort_period),-PMT(AC$3/12,amort_period,loan_amount),0))</f>
        <v>153221.15834744019</v>
      </c>
      <c r="AD65" s="149">
        <f>AD64+IF(AND(leveraged_property,$B65&lt;=amort_period),PPMT(AD$3/12,$B65,amort_period,loan_amount),0)</f>
        <v>8677183.2011712175</v>
      </c>
      <c r="AE65" s="149">
        <f ca="1">SUM(AC65,Model_Mthly!$AA65,-AD65)</f>
        <v>19975566.277122401</v>
      </c>
      <c r="AF65" s="149">
        <f>SUM(Model_Mthly!$Q65,-IF(AND(leveraged_property,B65&lt;=amort_period),-PMT(AF$3/12,amort_period,loan_amount),0))</f>
        <v>151779.6011290832</v>
      </c>
      <c r="AG65" s="149">
        <f>AG64+IF(AND(leveraged_property,$B65&lt;=amort_period),PPMT(AG$3/12,$B65,amort_period,loan_amount),0)</f>
        <v>8709080.3670088742</v>
      </c>
      <c r="AH65" s="149">
        <f ca="1">SUM(AF65,Model_Mthly!$AA65,-AG65)</f>
        <v>19942227.55406639</v>
      </c>
      <c r="AI65" s="149">
        <f>SUM(Model_Mthly!$Q65,-IF(AND(leveraged_property,B65&lt;=amort_period),-PMT(AI$3/12,amort_period,loan_amount),0))</f>
        <v>150318.30361175648</v>
      </c>
      <c r="AJ65" s="149">
        <f>AJ64+IF(AND(leveraged_property,$B65&lt;=amort_period),PPMT(AJ$3/12,$B65,amort_period,loan_amount),0)</f>
        <v>8740041.6513456181</v>
      </c>
      <c r="AK65" s="149">
        <f ca="1">SUM(AI65,Model_Mthly!$AA65,-AJ65)</f>
        <v>19909804.972212315</v>
      </c>
      <c r="AL65" s="229">
        <f>SUM(Model_Mthly!$Q65,-IF(AND(leveraged_property,B65&lt;=amort_period),-PMT(AL$3/12,amort_period,loan_amount),0))</f>
        <v>148837.70018727108</v>
      </c>
      <c r="AM65" s="229">
        <f>AM64+IF(AND(leveraged_property,$B65&lt;=amort_period),PPMT(AM$3/12,$B65,amort_period,loan_amount),0)</f>
        <v>8770076.2646104451</v>
      </c>
      <c r="AN65" s="229">
        <f ca="1">SUM(AL65,Model_Mthly!$AA65,-AM65)</f>
        <v>19878289.755523004</v>
      </c>
      <c r="AO65" s="149">
        <f>SUM(Model_Mthly!$Q65,-IF(AND(leveraged_property,B65&lt;=amort_period),-PMT(AO$3/12,amort_period,loan_amount),0))</f>
        <v>147338.23395309888</v>
      </c>
      <c r="AP65" s="162">
        <f>AP64+IF(AND(leveraged_property,$B65&lt;=amort_period),PPMT(AP$3/12,$B65,amort_period,loan_amount),0)</f>
        <v>8799194.4489943478</v>
      </c>
      <c r="AQ65" s="149">
        <f ca="1">SUM(AO65,Model_Mthly!$AA65,-AP65)</f>
        <v>19847672.104904927</v>
      </c>
      <c r="AR65" s="149">
        <f>SUM(Model_Mthly!$Q65,-IF(AND(leveraged_property,B65&lt;=amort_period),-PMT(AR$3/12,amort_period,loan_amount),0))</f>
        <v>145820.35542572421</v>
      </c>
      <c r="AS65" s="162">
        <f>AS64+IF(AND(leveraged_property,$B65&lt;=amort_period),PPMT(AS$3/12,$B65,amort_period,loan_amount),0)</f>
        <v>8827407.4177691452</v>
      </c>
      <c r="AT65" s="149">
        <f ca="1">SUM(AR65,Model_Mthly!$AA65,-AS65)</f>
        <v>19817941.257602755</v>
      </c>
      <c r="AU65" s="149">
        <f>SUM(Model_Mthly!$Q65,-IF(AND(leveraged_property,B65&lt;=amort_period),-PMT(AU$3/12,amort_period,loan_amount),0))</f>
        <v>144284.52127472893</v>
      </c>
      <c r="AV65" s="162">
        <f>AV64+IF(AND(leveraged_property,$B65&lt;=amort_period),PPMT(AV$3/12,$B65,amort_period,loan_amount),0)</f>
        <v>8854727.2932112999</v>
      </c>
      <c r="AW65" s="149">
        <f ca="1">SUM(AU65,Model_Mthly!$AA65,-AV65)</f>
        <v>19789085.548009608</v>
      </c>
      <c r="AX65" s="103"/>
      <c r="AY65" s="288">
        <f ca="1">IF(AND(leveraged_property,down_payment&gt;0),IRR(($AC$4:AC64,AE65),),"N/A")</f>
        <v>1.6920454420536406E-2</v>
      </c>
      <c r="AZ65" s="288">
        <f ca="1">IF(AND(leveraged_property,down_payment&gt;0),IRR(($AF$4:AF64,AH65),),"N/A")</f>
        <v>1.6798729604952229E-2</v>
      </c>
      <c r="BA65" s="288">
        <f ca="1">IF(AND(leveraged_property,down_payment&gt;0),IRR(($AI$4:AI64,AK65),),"N/A")</f>
        <v>1.6676157052580683E-2</v>
      </c>
      <c r="BB65" s="303">
        <f ca="1">IF(AND(leveraged_property,down_payment&gt;0),IRR(($AL$4:AL64,AN65),),"N/A")</f>
        <v>1.6552767979462087E-2</v>
      </c>
      <c r="BC65" s="288">
        <f ca="1">IF(AND(leveraged_property,down_payment&gt;0),IRR(($AO$4:AO64,AQ65),),"N/A")</f>
        <v>1.6428593559642386E-2</v>
      </c>
      <c r="BD65" s="288">
        <f ca="1">IF(AND(leveraged_property,down_payment&gt;0),IRR(($AR$4:AR64,AT65),),"N/A")</f>
        <v>1.630366485365645E-2</v>
      </c>
      <c r="BE65" s="288">
        <f ca="1">IF(AND(leveraged_property,down_payment&gt;0),IRR(($AU$4:AU64,AW65),),"N/A")</f>
        <v>1.6178012740161465E-2</v>
      </c>
      <c r="BF65" s="103"/>
      <c r="BG65" s="290">
        <f ca="1">IF(AND(leveraged_property,down_payment&gt;0),((1+AY65)^12)-1,"N/A")</f>
        <v>0.22304882371622092</v>
      </c>
      <c r="BH65" s="290">
        <f ca="1">IF(AND(leveraged_property,down_payment&gt;0),((1+AZ65)^12)-1,"N/A")</f>
        <v>0.2212932006174253</v>
      </c>
      <c r="BI65" s="290">
        <f ca="1">IF(AND(leveraged_property,down_payment&gt;0),((1+BA65)^12)-1,"N/A")</f>
        <v>0.21952768526625954</v>
      </c>
      <c r="BJ65" s="305">
        <f ca="1">IF(AND(leveraged_property,down_payment&gt;0),((1+BB65)^12)-1,"N/A")</f>
        <v>0.21775277215101729</v>
      </c>
      <c r="BK65" s="290">
        <f ca="1">IF(AND(leveraged_property,down_payment&gt;0),((1+BC65)^12)-1,"N/A")</f>
        <v>0.21596895296687202</v>
      </c>
      <c r="BL65" s="290">
        <f ca="1">IF(AND(leveraged_property,down_payment&gt;0),((1+BD65)^12)-1,"N/A")</f>
        <v>0.21417671556142381</v>
      </c>
      <c r="BM65" s="290">
        <f ca="1">IF(AND(leveraged_property,down_payment&gt;0),((1+BE65)^12)-1,"N/A")</f>
        <v>0.21237654293549713</v>
      </c>
    </row>
    <row r="66" spans="1:65">
      <c r="A66" s="137">
        <f>Model_Mthly!A66</f>
        <v>42050</v>
      </c>
      <c r="B66" s="138">
        <f>Model_Mthly!B66</f>
        <v>62</v>
      </c>
      <c r="C66" s="223"/>
      <c r="D66" s="139">
        <f>Model_Mthly!AQ66</f>
        <v>90353.111981867987</v>
      </c>
      <c r="E66" s="231">
        <f>IF(OR($H$3&lt;=0.0075,$H$3=""),0,SUM(Model_Mthly!AQ66,(SUM(Model_Mthly!Q67:Q78)/$E$3)*(1-cost_of_sale),-Model_Mthly!V66))</f>
        <v>23208495.878321823</v>
      </c>
      <c r="F66" s="231">
        <f>IF(OR($H$3&lt;=0.0075,$H$3=""),0,SUM(Model_Mthly!AQ66,(SUM(Model_Mthly!Q67:Q78)/$F$3)*(1-cost_of_sale),-Model_Mthly!V66))</f>
        <v>22146013.369698424</v>
      </c>
      <c r="G66" s="231">
        <f>IF(OR($H$3&lt;=0.0075,$H$3=""),0,SUM(Model_Mthly!AQ66,(SUM(Model_Mthly!Q67:Q78)/$G$3)*(1-cost_of_sale),-Model_Mthly!V66))</f>
        <v>21152078.119695891</v>
      </c>
      <c r="H66" s="232">
        <f>IF(OR($H$3&lt;=0.0075,$H$3=""),0,SUM(Model_Mthly!AQ66,(SUM(Model_Mthly!Q67:Q78)/$H$3)*(1-cost_of_sale),-Model_Mthly!V66))</f>
        <v>20220263.822818518</v>
      </c>
      <c r="I66" s="231">
        <f>IF(OR($H$3&lt;=0.0075,$H$3=""),0,SUM(Model_Mthly!AQ66,(SUM(Model_Mthly!Q67:Q78)/$I$3)*(1-cost_of_sale),-Model_Mthly!V66))</f>
        <v>19344923.119691286</v>
      </c>
      <c r="J66" s="231">
        <f>IF(OR($H$3&lt;=0.0075,$H$3=""),0,SUM(Model_Mthly!AQ66,(SUM(Model_Mthly!Q67:Q78)/$J$3)*(1-cost_of_sale),-Model_Mthly!V66))</f>
        <v>18521073.046159774</v>
      </c>
      <c r="K66" s="231">
        <f>IF(OR($H$3&lt;=0.0075,$H$3=""),0,SUM(Model_Mthly!AQ66,(SUM(Model_Mthly!Q67:Q78)/$K$3)*(1-cost_of_sale),-Model_Mthly!V66))</f>
        <v>17744300.119687207</v>
      </c>
      <c r="L66" s="160"/>
      <c r="M66" s="302">
        <f>IF(OR($H$3&lt;=0.0075,$H$3="",down_payment&lt;=0),"N/A",IRR(($D$4:D65,E66),))</f>
        <v>1.8480809190222575E-2</v>
      </c>
      <c r="N66" s="288">
        <f>IF(OR($H$3&lt;=0.0075,$H$3="",down_payment&lt;=0),"N/A",IRR(($D$4:D65,F66),))</f>
        <v>1.7857296731575052E-2</v>
      </c>
      <c r="O66" s="288">
        <f>IF(OR($H$3&lt;=0.0075,$H$3="",down_payment&lt;=0),"N/A",IRR(($D$4:D65,G66),))</f>
        <v>1.7250524295389709E-2</v>
      </c>
      <c r="P66" s="303">
        <f>IF(OR($H$3&lt;=0.0075,$H$3="",down_payment&lt;=0),"N/A",IRR(($D$4:D65,H66),))</f>
        <v>1.6659339178685038E-2</v>
      </c>
      <c r="Q66" s="288">
        <f>IF(OR($H$3&lt;=0.0075,$H$3="",down_payment&lt;=0),"N/A",IRR(($D$4:D65,I66),))</f>
        <v>1.6082694334091194E-2</v>
      </c>
      <c r="R66" s="288">
        <f>IF(OR($H$3&lt;=0.0075,$H$3="",down_payment&lt;=0),"N/A",IRR(($D$4:D65,J66),))</f>
        <v>1.5519635594177373E-2</v>
      </c>
      <c r="S66" s="288">
        <f>IF(OR($H$3&lt;=0.0075,$H$3="",down_payment&lt;=0),"N/A",IRR(($D$4:D65,K66),))</f>
        <v>1.4969290755134E-2</v>
      </c>
      <c r="T66" s="233"/>
      <c r="U66" s="304">
        <f t="shared" si="11"/>
        <v>0.24575948413578996</v>
      </c>
      <c r="V66" s="304">
        <f t="shared" si="12"/>
        <v>0.23663841081328307</v>
      </c>
      <c r="W66" s="304">
        <f t="shared" si="13"/>
        <v>0.22782103195090664</v>
      </c>
      <c r="X66" s="305">
        <f t="shared" si="14"/>
        <v>0.21928562592289369</v>
      </c>
      <c r="Y66" s="304">
        <f t="shared" si="15"/>
        <v>0.21101258270902878</v>
      </c>
      <c r="Z66" s="304">
        <f t="shared" si="16"/>
        <v>0.20298413960678663</v>
      </c>
      <c r="AA66" s="304">
        <f t="shared" si="17"/>
        <v>0.19518415662011246</v>
      </c>
      <c r="AB66" s="103"/>
      <c r="AC66" s="149">
        <f>SUM(Model_Mthly!$Q66,-IF(AND(leveraged_property,B66&lt;=amort_period),-PMT(AC$3/12,amort_period,loan_amount),0))</f>
        <v>94736.57014203709</v>
      </c>
      <c r="AD66" s="149">
        <f>AD65+IF(AND(leveraged_property,$B66&lt;=amort_period),PPMT(AD$3/12,$B66,amort_period,loan_amount),0)</f>
        <v>8661973.8877080567</v>
      </c>
      <c r="AE66" s="149">
        <f ca="1">SUM(AC66,Model_Mthly!$AA66,-AD66)</f>
        <v>20319005.885632575</v>
      </c>
      <c r="AF66" s="149">
        <f>SUM(Model_Mthly!$Q66,-IF(AND(leveraged_property,B66&lt;=amort_period),-PMT(AF$3/12,amort_period,loan_amount),0))</f>
        <v>93295.012923680086</v>
      </c>
      <c r="AG66" s="149">
        <f>AG65+IF(AND(leveraged_property,$B66&lt;=amort_period),PPMT(AG$3/12,$B66,amort_period,loan_amount),0)</f>
        <v>8694370.1476852577</v>
      </c>
      <c r="AH66" s="149">
        <f ca="1">SUM(AF66,Model_Mthly!$AA66,-AG66)</f>
        <v>20285168.068437018</v>
      </c>
      <c r="AI66" s="149">
        <f>SUM(Model_Mthly!$Q66,-IF(AND(leveraged_property,B66&lt;=amort_period),-PMT(AI$3/12,amort_period,loan_amount),0))</f>
        <v>91833.715406353382</v>
      </c>
      <c r="AJ66" s="149">
        <f>AJ65+IF(AND(leveraged_property,$B66&lt;=amort_period),PPMT(AJ$3/12,$B66,amort_period,loan_amount),0)</f>
        <v>8725819.9818667751</v>
      </c>
      <c r="AK66" s="149">
        <f ca="1">SUM(AI66,Model_Mthly!$AA66,-AJ66)</f>
        <v>20252256.936738171</v>
      </c>
      <c r="AL66" s="229">
        <f>SUM(Model_Mthly!$Q66,-IF(AND(leveraged_property,B66&lt;=amort_period),-PMT(AL$3/12,amort_period,loan_amount),0))</f>
        <v>90353.111981867987</v>
      </c>
      <c r="AM66" s="229">
        <f>AM65+IF(AND(leveraged_property,$B66&lt;=amort_period),PPMT(AM$3/12,$B66,amort_period,loan_amount),0)</f>
        <v>8756332.4923619442</v>
      </c>
      <c r="AN66" s="229">
        <f ca="1">SUM(AL66,Model_Mthly!$AA66,-AM66)</f>
        <v>20220263.822818518</v>
      </c>
      <c r="AO66" s="149">
        <f>SUM(Model_Mthly!$Q66,-IF(AND(leveraged_property,B66&lt;=amort_period),-PMT(AO$3/12,amort_period,loan_amount),0))</f>
        <v>88853.645747695788</v>
      </c>
      <c r="AP66" s="162">
        <f>AP65+IF(AND(leveraged_property,$B66&lt;=amort_period),PPMT(AP$3/12,$B66,amort_period,loan_amount),0)</f>
        <v>8785917.8343669754</v>
      </c>
      <c r="AQ66" s="149">
        <f ca="1">SUM(AO66,Model_Mthly!$AA66,-AP66)</f>
        <v>20189179.014579311</v>
      </c>
      <c r="AR66" s="149">
        <f>SUM(Model_Mthly!$Q66,-IF(AND(leveraged_property,B66&lt;=amort_period),-PMT(AR$3/12,amort_period,loan_amount),0))</f>
        <v>87335.767220321111</v>
      </c>
      <c r="AS66" s="162">
        <f>AS65+IF(AND(leveraged_property,$B66&lt;=amort_period),PPMT(AS$3/12,$B66,amort_period,loan_amount),0)</f>
        <v>8814587.1549684796</v>
      </c>
      <c r="AT66" s="149">
        <f ca="1">SUM(AR66,Model_Mthly!$AA66,-AS66)</f>
        <v>20158991.815450437</v>
      </c>
      <c r="AU66" s="149">
        <f>SUM(Model_Mthly!$Q66,-IF(AND(leveraged_property,B66&lt;=amort_period),-PMT(AU$3/12,amort_period,loan_amount),0))</f>
        <v>85799.933069325823</v>
      </c>
      <c r="AV66" s="162">
        <f>AV65+IF(AND(leveraged_property,$B66&lt;=amort_period),PPMT(AV$3/12,$B66,amort_period,loan_amount),0)</f>
        <v>8842352.5304896012</v>
      </c>
      <c r="AW66" s="149">
        <f ca="1">SUM(AU66,Model_Mthly!$AA66,-AV66)</f>
        <v>20129690.605778318</v>
      </c>
      <c r="AX66" s="103"/>
      <c r="AY66" s="288">
        <f ca="1">IF(AND(leveraged_property,down_payment&gt;0),IRR(($AC$4:AC65,AE66),),"N/A")</f>
        <v>1.7023750683152459E-2</v>
      </c>
      <c r="AZ66" s="288">
        <f ca="1">IF(AND(leveraged_property,down_payment&gt;0),IRR(($AF$4:AF65,AH66),),"N/A")</f>
        <v>1.6903119844841257E-2</v>
      </c>
      <c r="BA66" s="288">
        <f ca="1">IF(AND(leveraged_property,down_payment&gt;0),IRR(($AI$4:AI65,AK66),),"N/A")</f>
        <v>1.6781638923251543E-2</v>
      </c>
      <c r="BB66" s="303">
        <f ca="1">IF(AND(leveraged_property,down_payment&gt;0),IRR(($AL$4:AL65,AN66),),"N/A")</f>
        <v>1.6659339178685038E-2</v>
      </c>
      <c r="BC66" s="288">
        <f ca="1">IF(AND(leveraged_property,down_payment&gt;0),IRR(($AO$4:AO65,AQ66),),"N/A")</f>
        <v>1.6536251837064624E-2</v>
      </c>
      <c r="BD66" s="288">
        <f ca="1">IF(AND(leveraged_property,down_payment&gt;0),IRR(($AR$4:AR65,AT66),),"N/A")</f>
        <v>1.6412408018007408E-2</v>
      </c>
      <c r="BE66" s="288">
        <f ca="1">IF(AND(leveraged_property,down_payment&gt;0),IRR(($AU$4:AU65,AW66),),"N/A")</f>
        <v>1.6287838666031097E-2</v>
      </c>
      <c r="BF66" s="103"/>
      <c r="BG66" s="290">
        <f ca="1">IF(AND(leveraged_property,down_payment&gt;0),((1+AY66)^12)-1,"N/A")</f>
        <v>0.22454046814511419</v>
      </c>
      <c r="BH66" s="290">
        <f ca="1">IF(AND(leveraged_property,down_payment&gt;0),((1+AZ66)^12)-1,"N/A")</f>
        <v>0.22279866792765413</v>
      </c>
      <c r="BI66" s="290">
        <f ca="1">IF(AND(leveraged_property,down_payment&gt;0),((1+BA66)^12)-1,"N/A")</f>
        <v>0.22104688869834677</v>
      </c>
      <c r="BJ66" s="305">
        <f ca="1">IF(AND(leveraged_property,down_payment&gt;0),((1+BB66)^12)-1,"N/A")</f>
        <v>0.21928562592289369</v>
      </c>
      <c r="BK66" s="290">
        <f ca="1">IF(AND(leveraged_property,down_payment&gt;0),((1+BC66)^12)-1,"N/A")</f>
        <v>0.21751537240157459</v>
      </c>
      <c r="BL66" s="290">
        <f ca="1">IF(AND(leveraged_property,down_payment&gt;0),((1+BD66)^12)-1,"N/A")</f>
        <v>0.21573661720662063</v>
      </c>
      <c r="BM66" s="290">
        <f ca="1">IF(AND(leveraged_property,down_payment&gt;0),((1+BE66)^12)-1,"N/A")</f>
        <v>0.21394984467461731</v>
      </c>
    </row>
    <row r="67" spans="1:65">
      <c r="A67" s="137">
        <f>Model_Mthly!A67</f>
        <v>42078</v>
      </c>
      <c r="B67" s="138">
        <f>Model_Mthly!B67</f>
        <v>63</v>
      </c>
      <c r="C67" s="223"/>
      <c r="D67" s="139">
        <f>Model_Mthly!AQ67</f>
        <v>148837.70018727108</v>
      </c>
      <c r="E67" s="231">
        <f>IF(OR($H$3&lt;=0.0075,$H$3=""),0,SUM(Model_Mthly!AQ67,(SUM(Model_Mthly!Q68:Q79)/$E$3)*(1-cost_of_sale),-Model_Mthly!V67))</f>
        <v>23739372.619070135</v>
      </c>
      <c r="F67" s="231">
        <f>IF(OR($H$3&lt;=0.0075,$H$3=""),0,SUM(Model_Mthly!AQ67,(SUM(Model_Mthly!Q68:Q79)/$F$3)*(1-cost_of_sale),-Model_Mthly!V67))</f>
        <v>22661603.930846572</v>
      </c>
      <c r="G67" s="231">
        <f>IF(OR($H$3&lt;=0.0075,$H$3=""),0,SUM(Model_Mthly!AQ67,(SUM(Model_Mthly!Q68:Q79)/$G$3)*(1-cost_of_sale),-Model_Mthly!V67))</f>
        <v>21653368.706379369</v>
      </c>
      <c r="H67" s="232">
        <f>IF(OR($H$3&lt;=0.0075,$H$3=""),0,SUM(Model_Mthly!AQ67,(SUM(Model_Mthly!Q68:Q79)/$H$3)*(1-cost_of_sale),-Model_Mthly!V67))</f>
        <v>20708148.183441363</v>
      </c>
      <c r="I67" s="231">
        <f>IF(OR($H$3&lt;=0.0075,$H$3=""),0,SUM(Model_Mthly!AQ67,(SUM(Model_Mthly!Q68:Q79)/$I$3)*(1-cost_of_sale),-Model_Mthly!V67))</f>
        <v>19820213.752802633</v>
      </c>
      <c r="J67" s="231">
        <f>IF(OR($H$3&lt;=0.0075,$H$3=""),0,SUM(Model_Mthly!AQ67,(SUM(Model_Mthly!Q68:Q79)/$J$3)*(1-cost_of_sale),-Model_Mthly!V67))</f>
        <v>18984510.759260297</v>
      </c>
      <c r="K67" s="231">
        <f>IF(OR($H$3&lt;=0.0075,$H$3=""),0,SUM(Model_Mthly!AQ67,(SUM(Model_Mthly!Q68:Q79)/$K$3)*(1-cost_of_sale),-Model_Mthly!V67))</f>
        <v>18196562.222491816</v>
      </c>
      <c r="L67" s="160"/>
      <c r="M67" s="302">
        <f>IF(OR($H$3&lt;=0.0075,$H$3="",down_payment&lt;=0),"N/A",IRR(($D$4:D66,E67),))</f>
        <v>1.8588588942524707E-2</v>
      </c>
      <c r="N67" s="288">
        <f>IF(OR($H$3&lt;=0.0075,$H$3="",down_payment&lt;=0),"N/A",IRR(($D$4:D66,F67),))</f>
        <v>1.7979963871045574E-2</v>
      </c>
      <c r="O67" s="288">
        <f>IF(OR($H$3&lt;=0.0075,$H$3="",down_payment&lt;=0),"N/A",IRR(($D$4:D66,G67),))</f>
        <v>1.7387852361951839E-2</v>
      </c>
      <c r="P67" s="303">
        <f>IF(OR($H$3&lt;=0.0075,$H$3="",down_payment&lt;=0),"N/A",IRR(($D$4:D66,H67),))</f>
        <v>1.6811122943570827E-2</v>
      </c>
      <c r="Q67" s="288">
        <f>IF(OR($H$3&lt;=0.0075,$H$3="",down_payment&lt;=0),"N/A",IRR(($D$4:D66,I67),))</f>
        <v>1.6248748055295279E-2</v>
      </c>
      <c r="R67" s="288">
        <f>IF(OR($H$3&lt;=0.0075,$H$3="",down_payment&lt;=0),"N/A",IRR(($D$4:D66,J67),))</f>
        <v>1.5699791491698756E-2</v>
      </c>
      <c r="S67" s="288">
        <f>IF(OR($H$3&lt;=0.0075,$H$3="",down_payment&lt;=0),"N/A",IRR(($D$4:D66,K67),))</f>
        <v>1.5163397674518742E-2</v>
      </c>
      <c r="T67" s="233"/>
      <c r="U67" s="304">
        <f t="shared" si="11"/>
        <v>0.24734238081585169</v>
      </c>
      <c r="V67" s="304">
        <f t="shared" si="12"/>
        <v>0.23842799942064707</v>
      </c>
      <c r="W67" s="304">
        <f t="shared" si="13"/>
        <v>0.22981156863167707</v>
      </c>
      <c r="X67" s="305">
        <f t="shared" si="14"/>
        <v>0.22147184263721043</v>
      </c>
      <c r="Y67" s="304">
        <f t="shared" si="15"/>
        <v>0.21338964114228043</v>
      </c>
      <c r="Z67" s="304">
        <f t="shared" si="16"/>
        <v>0.20554759106155585</v>
      </c>
      <c r="AA67" s="304">
        <f t="shared" si="17"/>
        <v>0.19792990697731327</v>
      </c>
      <c r="AB67" s="103"/>
      <c r="AC67" s="149">
        <f>SUM(Model_Mthly!$Q67,-IF(AND(leveraged_property,B67&lt;=amort_period),-PMT(AC$3/12,amort_period,loan_amount),0))</f>
        <v>153221.15834744019</v>
      </c>
      <c r="AD67" s="149">
        <f>AD66+IF(AND(leveraged_property,$B67&lt;=amort_period),PPMT(AD$3/12,$B67,amort_period,loan_amount),0)</f>
        <v>8646704.3707124386</v>
      </c>
      <c r="AE67" s="149">
        <f ca="1">SUM(AC67,Model_Mthly!$AA67,-AD67)</f>
        <v>20808352.998713069</v>
      </c>
      <c r="AF67" s="149">
        <f>SUM(Model_Mthly!$Q67,-IF(AND(leveraged_property,B67&lt;=amort_period),-PMT(AF$3/12,amort_period,loan_amount),0))</f>
        <v>151779.6011290832</v>
      </c>
      <c r="AG67" s="149">
        <f>AG66+IF(AND(leveraged_property,$B67&lt;=amort_period),PPMT(AG$3/12,$B67,amort_period,loan_amount),0)</f>
        <v>8679598.6357811261</v>
      </c>
      <c r="AH67" s="149">
        <f ca="1">SUM(AF67,Model_Mthly!$AA67,-AG67)</f>
        <v>20774017.176426023</v>
      </c>
      <c r="AI67" s="149">
        <f>SUM(Model_Mthly!$Q67,-IF(AND(leveraged_property,B67&lt;=amort_period),-PMT(AI$3/12,amort_period,loan_amount),0))</f>
        <v>150318.30361175648</v>
      </c>
      <c r="AJ67" s="149">
        <f>AJ66+IF(AND(leveraged_property,$B67&lt;=amort_period),PPMT(AJ$3/12,$B67,amort_period,loan_amount),0)</f>
        <v>8711536.0925839618</v>
      </c>
      <c r="AK67" s="149">
        <f ca="1">SUM(AI67,Model_Mthly!$AA67,-AJ67)</f>
        <v>20740618.42210586</v>
      </c>
      <c r="AL67" s="229">
        <f>SUM(Model_Mthly!$Q67,-IF(AND(leveraged_property,B67&lt;=amort_period),-PMT(AL$3/12,amort_period,loan_amount),0))</f>
        <v>148837.70018727108</v>
      </c>
      <c r="AM67" s="229">
        <f>AM66+IF(AND(leveraged_property,$B67&lt;=amort_period),PPMT(AM$3/12,$B67,amort_period,loan_amount),0)</f>
        <v>8742525.7278239708</v>
      </c>
      <c r="AN67" s="229">
        <f ca="1">SUM(AL67,Model_Mthly!$AA67,-AM67)</f>
        <v>20708148.183441363</v>
      </c>
      <c r="AO67" s="149">
        <f>SUM(Model_Mthly!$Q67,-IF(AND(leveraged_property,B67&lt;=amort_period),-PMT(AO$3/12,amort_period,loan_amount),0))</f>
        <v>147338.23395309888</v>
      </c>
      <c r="AP67" s="162">
        <f>AP66+IF(AND(leveraged_property,$B67&lt;=amort_period),PPMT(AP$3/12,$B67,amort_period,loan_amount),0)</f>
        <v>8772577.6026278455</v>
      </c>
      <c r="AQ67" s="149">
        <f ca="1">SUM(AO67,Model_Mthly!$AA67,-AP67)</f>
        <v>20676596.842403322</v>
      </c>
      <c r="AR67" s="149">
        <f>SUM(Model_Mthly!$Q67,-IF(AND(leveraged_property,B67&lt;=amort_period),-PMT(AR$3/12,amort_period,loan_amount),0))</f>
        <v>145820.35542572421</v>
      </c>
      <c r="AS67" s="162">
        <f>AS66+IF(AND(leveraged_property,$B67&lt;=amort_period),PPMT(AS$3/12,$B67,amort_period,loan_amount),0)</f>
        <v>8801702.7908538096</v>
      </c>
      <c r="AT67" s="149">
        <f ca="1">SUM(AR67,Model_Mthly!$AA67,-AS67)</f>
        <v>20645953.77564998</v>
      </c>
      <c r="AU67" s="149">
        <f>SUM(Model_Mthly!$Q67,-IF(AND(leveraged_property,B67&lt;=amort_period),-PMT(AU$3/12,amort_period,loan_amount),0))</f>
        <v>144284.52127472893</v>
      </c>
      <c r="AV67" s="162">
        <f>AV66+IF(AND(leveraged_property,$B67&lt;=amort_period),PPMT(AV$3/12,$B67,amort_period,loan_amount),0)</f>
        <v>8829913.3158787265</v>
      </c>
      <c r="AW67" s="149">
        <f ca="1">SUM(AU67,Model_Mthly!$AA67,-AV67)</f>
        <v>20616207.41647407</v>
      </c>
      <c r="AX67" s="103"/>
      <c r="AY67" s="288">
        <f ca="1">IF(AND(leveraged_property,down_payment&gt;0),IRR(($AC$4:AC66,AE67),),"N/A")</f>
        <v>1.7171670662001655E-2</v>
      </c>
      <c r="AZ67" s="288">
        <f ca="1">IF(AND(leveraged_property,down_payment&gt;0),IRR(($AF$4:AF66,AH67),),"N/A")</f>
        <v>1.7052328690901463E-2</v>
      </c>
      <c r="BA67" s="288">
        <f ca="1">IF(AND(leveraged_property,down_payment&gt;0),IRR(($AI$4:AI66,AK67),),"N/A")</f>
        <v>1.6932135699369678E-2</v>
      </c>
      <c r="BB67" s="303">
        <f ca="1">IF(AND(leveraged_property,down_payment&gt;0),IRR(($AL$4:AL66,AN67),),"N/A")</f>
        <v>1.6811122943570827E-2</v>
      </c>
      <c r="BC67" s="288">
        <f ca="1">IF(AND(leveraged_property,down_payment&gt;0),IRR(($AO$4:AO66,AQ67),),"N/A")</f>
        <v>1.6689321653260054E-2</v>
      </c>
      <c r="BD67" s="288">
        <f ca="1">IF(AND(leveraged_property,down_payment&gt;0),IRR(($AR$4:AR66,AT67),),"N/A")</f>
        <v>1.656676295956213E-2</v>
      </c>
      <c r="BE67" s="288">
        <f ca="1">IF(AND(leveraged_property,down_payment&gt;0),IRR(($AU$4:AU66,AW67),),"N/A")</f>
        <v>1.6443477825860333E-2</v>
      </c>
      <c r="BF67" s="103"/>
      <c r="BG67" s="290">
        <f ca="1">IF(AND(leveraged_property,down_payment&gt;0),((1+AY67)^12)-1,"N/A")</f>
        <v>0.22667940305555279</v>
      </c>
      <c r="BH67" s="290">
        <f ca="1">IF(AND(leveraged_property,down_payment&gt;0),((1+AZ67)^12)-1,"N/A")</f>
        <v>0.22495344181502319</v>
      </c>
      <c r="BI67" s="290">
        <f ca="1">IF(AND(leveraged_property,down_payment&gt;0),((1+BA67)^12)-1,"N/A")</f>
        <v>0.2232174230624453</v>
      </c>
      <c r="BJ67" s="305">
        <f ca="1">IF(AND(leveraged_property,down_payment&gt;0),((1+BB67)^12)-1,"N/A")</f>
        <v>0.22147184263721043</v>
      </c>
      <c r="BK67" s="290">
        <f ca="1">IF(AND(leveraged_property,down_payment&gt;0),((1+BC67)^12)-1,"N/A")</f>
        <v>0.21971719385228505</v>
      </c>
      <c r="BL67" s="290">
        <f ca="1">IF(AND(leveraged_property,down_payment&gt;0),((1+BD67)^12)-1,"N/A")</f>
        <v>0.21795396642458464</v>
      </c>
      <c r="BM67" s="290">
        <f ca="1">IF(AND(leveraged_property,down_payment&gt;0),((1+BE67)^12)-1,"N/A")</f>
        <v>0.21618264546011212</v>
      </c>
    </row>
    <row r="68" spans="1:65">
      <c r="A68" s="137">
        <f>Model_Mthly!A68</f>
        <v>42109</v>
      </c>
      <c r="B68" s="138">
        <f>Model_Mthly!B68</f>
        <v>64</v>
      </c>
      <c r="C68" s="223"/>
      <c r="D68" s="139">
        <f>Model_Mthly!AQ68</f>
        <v>148821.07922682169</v>
      </c>
      <c r="E68" s="231">
        <f>IF(OR($H$3&lt;=0.0075,$H$3=""),0,SUM(Model_Mthly!AQ68,(SUM(Model_Mthly!Q69:Q80)/$E$3)*(1-cost_of_sale),-Model_Mthly!V68))</f>
        <v>24211804.27891238</v>
      </c>
      <c r="F68" s="231">
        <f>IF(OR($H$3&lt;=0.0075,$H$3=""),0,SUM(Model_Mthly!AQ68,(SUM(Model_Mthly!Q69:Q80)/$F$3)*(1-cost_of_sale),-Model_Mthly!V68))</f>
        <v>23118749.649513461</v>
      </c>
      <c r="G68" s="231">
        <f>IF(OR($H$3&lt;=0.0075,$H$3=""),0,SUM(Model_Mthly!AQ68,(SUM(Model_Mthly!Q69:Q80)/$G$3)*(1-cost_of_sale),-Model_Mthly!V68))</f>
        <v>22096214.673624158</v>
      </c>
      <c r="H68" s="232">
        <f>IF(OR($H$3&lt;=0.0075,$H$3=""),0,SUM(Model_Mthly!AQ68,(SUM(Model_Mthly!Q69:Q80)/$H$3)*(1-cost_of_sale),-Model_Mthly!V68))</f>
        <v>21137588.13372793</v>
      </c>
      <c r="I68" s="231">
        <f>IF(OR($H$3&lt;=0.0075,$H$3=""),0,SUM(Model_Mthly!AQ68,(SUM(Model_Mthly!Q69:Q80)/$I$3)*(1-cost_of_sale),-Model_Mthly!V68))</f>
        <v>20237060.172007233</v>
      </c>
      <c r="J68" s="231">
        <f>IF(OR($H$3&lt;=0.0075,$H$3=""),0,SUM(Model_Mthly!AQ68,(SUM(Model_Mthly!Q69:Q80)/$J$3)*(1-cost_of_sale),-Model_Mthly!V68))</f>
        <v>19389504.443328932</v>
      </c>
      <c r="K68" s="231">
        <f>IF(OR($H$3&lt;=0.0075,$H$3=""),0,SUM(Model_Mthly!AQ68,(SUM(Model_Mthly!Q69:Q80)/$K$3)*(1-cost_of_sale),-Model_Mthly!V68))</f>
        <v>18590380.470575102</v>
      </c>
      <c r="L68" s="160"/>
      <c r="M68" s="302">
        <f>IF(OR($H$3&lt;=0.0075,$H$3="",down_payment&lt;=0),"N/A",IRR(($D$4:D67,E68),))</f>
        <v>1.8686350485758198E-2</v>
      </c>
      <c r="N68" s="288">
        <f>IF(OR($H$3&lt;=0.0075,$H$3="",down_payment&lt;=0),"N/A",IRR(($D$4:D67,F68),))</f>
        <v>1.8091974150463996E-2</v>
      </c>
      <c r="O68" s="288">
        <f>IF(OR($H$3&lt;=0.0075,$H$3="",down_payment&lt;=0),"N/A",IRR(($D$4:D67,G68),))</f>
        <v>1.751388724094239E-2</v>
      </c>
      <c r="P68" s="303">
        <f>IF(OR($H$3&lt;=0.0075,$H$3="",down_payment&lt;=0),"N/A",IRR(($D$4:D67,H68),))</f>
        <v>1.6950978671770516E-2</v>
      </c>
      <c r="Q68" s="288">
        <f>IF(OR($H$3&lt;=0.0075,$H$3="",down_payment&lt;=0),"N/A",IRR(($D$4:D67,I68),))</f>
        <v>1.6402239572163465E-2</v>
      </c>
      <c r="R68" s="288">
        <f>IF(OR($H$3&lt;=0.0075,$H$3="",down_payment&lt;=0),"N/A",IRR(($D$4:D67,J68),))</f>
        <v>1.5866750942421751E-2</v>
      </c>
      <c r="S68" s="288">
        <f>IF(OR($H$3&lt;=0.0075,$H$3="",down_payment&lt;=0),"N/A",IRR(($D$4:D67,K68),))</f>
        <v>1.5343673107744862E-2</v>
      </c>
      <c r="T68" s="233"/>
      <c r="U68" s="304">
        <f t="shared" si="11"/>
        <v>0.24877974041320083</v>
      </c>
      <c r="V68" s="304">
        <f t="shared" si="12"/>
        <v>0.24006418853917344</v>
      </c>
      <c r="W68" s="304">
        <f t="shared" si="13"/>
        <v>0.23164101611345522</v>
      </c>
      <c r="X68" s="305">
        <f t="shared" si="14"/>
        <v>0.22348943414864153</v>
      </c>
      <c r="Y68" s="304">
        <f t="shared" si="15"/>
        <v>0.21559067481154148</v>
      </c>
      <c r="Z68" s="304">
        <f t="shared" si="16"/>
        <v>0.20792773885749916</v>
      </c>
      <c r="AA68" s="304">
        <f t="shared" si="17"/>
        <v>0.20048518095471612</v>
      </c>
      <c r="AB68" s="103"/>
      <c r="AC68" s="149">
        <f>SUM(Model_Mthly!$Q68,-IF(AND(leveraged_property,B68&lt;=amort_period),-PMT(AC$3/12,amort_period,loan_amount),0))</f>
        <v>153204.53738699079</v>
      </c>
      <c r="AD68" s="149">
        <f>AD67+IF(AND(leveraged_property,$B68&lt;=amort_period),PPMT(AD$3/12,$B68,amort_period,loan_amount),0)</f>
        <v>8631374.4118787125</v>
      </c>
      <c r="AE68" s="149">
        <f ca="1">SUM(AC68,Model_Mthly!$AA68,-AD68)</f>
        <v>21239252.862291254</v>
      </c>
      <c r="AF68" s="149">
        <f>SUM(Model_Mthly!$Q68,-IF(AND(leveraged_property,B68&lt;=amort_period),-PMT(AF$3/12,amort_period,loan_amount),0))</f>
        <v>151762.9801686338</v>
      </c>
      <c r="AG68" s="149">
        <f>AG67+IF(AND(leveraged_property,$B68&lt;=amort_period),PPMT(AG$3/12,$B68,amort_period,loan_amount),0)</f>
        <v>8664765.5759107284</v>
      </c>
      <c r="AH68" s="149">
        <f ca="1">SUM(AF68,Model_Mthly!$AA68,-AG68)</f>
        <v>21204420.14104088</v>
      </c>
      <c r="AI68" s="149">
        <f>SUM(Model_Mthly!$Q68,-IF(AND(leveraged_property,B68&lt;=amort_period),-PMT(AI$3/12,amort_period,loan_amount),0))</f>
        <v>150301.68265130708</v>
      </c>
      <c r="AJ68" s="149">
        <f>AJ67+IF(AND(leveraged_property,$B68&lt;=amort_period),PPMT(AJ$3/12,$B68,amort_period,loan_amount),0)</f>
        <v>8697189.7112855371</v>
      </c>
      <c r="AK68" s="149">
        <f ca="1">SUM(AI68,Model_Mthly!$AA68,-AJ68)</f>
        <v>21170534.708148748</v>
      </c>
      <c r="AL68" s="229">
        <f>SUM(Model_Mthly!$Q68,-IF(AND(leveraged_property,B68&lt;=amort_period),-PMT(AL$3/12,amort_period,loan_amount),0))</f>
        <v>148821.07922682169</v>
      </c>
      <c r="AM68" s="229">
        <f>AM67+IF(AND(leveraged_property,$B68&lt;=amort_period),PPMT(AM$3/12,$B68,amort_period,loan_amount),0)</f>
        <v>8728655.6822818648</v>
      </c>
      <c r="AN68" s="229">
        <f ca="1">SUM(AL68,Model_Mthly!$AA68,-AM68)</f>
        <v>21137588.13372793</v>
      </c>
      <c r="AO68" s="149">
        <f>SUM(Model_Mthly!$Q68,-IF(AND(leveraged_property,B68&lt;=amort_period),-PMT(AO$3/12,amort_period,loan_amount),0))</f>
        <v>147321.61299264949</v>
      </c>
      <c r="AP68" s="162">
        <f>AP67+IF(AND(leveraged_property,$B68&lt;=amort_period),PPMT(AP$3/12,$B68,amort_period,loan_amount),0)</f>
        <v>8759173.4489449672</v>
      </c>
      <c r="AQ68" s="149">
        <f ca="1">SUM(AO68,Model_Mthly!$AA68,-AP68)</f>
        <v>21105570.900830656</v>
      </c>
      <c r="AR68" s="149">
        <f>SUM(Model_Mthly!$Q68,-IF(AND(leveraged_property,B68&lt;=amort_period),-PMT(AR$3/12,amort_period,loan_amount),0))</f>
        <v>145803.73446527481</v>
      </c>
      <c r="AS68" s="162">
        <f>AS67+IF(AND(leveraged_property,$B68&lt;=amort_period),PPMT(AS$3/12,$B68,amort_period,loan_amount),0)</f>
        <v>8788754.004918566</v>
      </c>
      <c r="AT68" s="149">
        <f ca="1">SUM(AR68,Model_Mthly!$AA68,-AS68)</f>
        <v>21074472.466329686</v>
      </c>
      <c r="AU68" s="149">
        <f>SUM(Model_Mthly!$Q68,-IF(AND(leveraged_property,B68&lt;=amort_period),-PMT(AU$3/12,amort_period,loan_amount),0))</f>
        <v>144267.90031427954</v>
      </c>
      <c r="AV68" s="162">
        <f>AV67+IF(AND(leveraged_property,$B68&lt;=amort_period),PPMT(AV$3/12,$B68,amort_period,loan_amount),0)</f>
        <v>8817409.3136917539</v>
      </c>
      <c r="AW68" s="149">
        <f ca="1">SUM(AU68,Model_Mthly!$AA68,-AV68)</f>
        <v>21044281.323405501</v>
      </c>
      <c r="AX68" s="103"/>
      <c r="AY68" s="288">
        <f ca="1">IF(AND(leveraged_property,down_payment&gt;0),IRR(($AC$4:AC67,AE68),),"N/A")</f>
        <v>1.7307815300844551E-2</v>
      </c>
      <c r="AZ68" s="288">
        <f ca="1">IF(AND(leveraged_property,down_payment&gt;0),IRR(($AF$4:AF67,AH68),),"N/A")</f>
        <v>1.7189711190932842E-2</v>
      </c>
      <c r="BA68" s="288">
        <f ca="1">IF(AND(leveraged_property,down_payment&gt;0),IRR(($AI$4:AI67,AK68),),"N/A")</f>
        <v>1.7070755230514854E-2</v>
      </c>
      <c r="BB68" s="303">
        <f ca="1">IF(AND(leveraged_property,down_payment&gt;0),IRR(($AL$4:AL67,AN68),),"N/A")</f>
        <v>1.6950978671770516E-2</v>
      </c>
      <c r="BC68" s="288">
        <f ca="1">IF(AND(leveraged_property,down_payment&gt;0),IRR(($AO$4:AO67,AQ68),),"N/A")</f>
        <v>1.6830412748108554E-2</v>
      </c>
      <c r="BD68" s="288">
        <f ca="1">IF(AND(leveraged_property,down_payment&gt;0),IRR(($AR$4:AR67,AT68),),"N/A")</f>
        <v>1.6709088601658061E-2</v>
      </c>
      <c r="BE68" s="288">
        <f ca="1">IF(AND(leveraged_property,down_payment&gt;0),IRR(($AU$4:AU67,AW68),),"N/A")</f>
        <v>1.658703721385445E-2</v>
      </c>
      <c r="BF68" s="103"/>
      <c r="BG68" s="290">
        <f ca="1">IF(AND(leveraged_property,down_payment&gt;0),((1+AY68)^12)-1,"N/A")</f>
        <v>0.22865109172228171</v>
      </c>
      <c r="BH68" s="290">
        <f ca="1">IF(AND(leveraged_property,down_payment&gt;0),((1+AZ68)^12)-1,"N/A")</f>
        <v>0.2269405047525983</v>
      </c>
      <c r="BI68" s="290">
        <f ca="1">IF(AND(leveraged_property,down_payment&gt;0),((1+BA68)^12)-1,"N/A")</f>
        <v>0.22521978684146449</v>
      </c>
      <c r="BJ68" s="305">
        <f ca="1">IF(AND(leveraged_property,down_payment&gt;0),((1+BB68)^12)-1,"N/A")</f>
        <v>0.22348943414864153</v>
      </c>
      <c r="BK68" s="290">
        <f ca="1">IF(AND(leveraged_property,down_payment&gt;0),((1+BC68)^12)-1,"N/A")</f>
        <v>0.22174994044122398</v>
      </c>
      <c r="BL68" s="290">
        <f ca="1">IF(AND(leveraged_property,down_payment&gt;0),((1+BD68)^12)-1,"N/A")</f>
        <v>0.22000179601732017</v>
      </c>
      <c r="BM68" s="290">
        <f ca="1">IF(AND(leveraged_property,down_payment&gt;0),((1+BE68)^12)-1,"N/A")</f>
        <v>0.21824548668427668</v>
      </c>
    </row>
    <row r="69" spans="1:65">
      <c r="A69" s="137">
        <f>Model_Mthly!A69</f>
        <v>42139</v>
      </c>
      <c r="B69" s="138">
        <f>Model_Mthly!B69</f>
        <v>65</v>
      </c>
      <c r="C69" s="223"/>
      <c r="D69" s="139">
        <f>Model_Mthly!AQ69</f>
        <v>143346.1411660217</v>
      </c>
      <c r="E69" s="231">
        <f>IF(OR($H$3&lt;=0.0075,$H$3=""),0,SUM(Model_Mthly!AQ69,(SUM(Model_Mthly!Q70:Q81)/$E$3)*(1-cost_of_sale),-Model_Mthly!V69))</f>
        <v>24675941.363433789</v>
      </c>
      <c r="F69" s="231">
        <f>IF(OR($H$3&lt;=0.0075,$H$3=""),0,SUM(Model_Mthly!AQ69,(SUM(Model_Mthly!Q70:Q81)/$F$3)*(1-cost_of_sale),-Model_Mthly!V69))</f>
        <v>23567697.45383494</v>
      </c>
      <c r="G69" s="231">
        <f>IF(OR($H$3&lt;=0.0075,$H$3=""),0,SUM(Model_Mthly!AQ69,(SUM(Model_Mthly!Q70:Q81)/$G$3)*(1-cost_of_sale),-Model_Mthly!V69))</f>
        <v>22530953.151306987</v>
      </c>
      <c r="H69" s="232">
        <f>IF(OR($H$3&lt;=0.0075,$H$3=""),0,SUM(Model_Mthly!AQ69,(SUM(Model_Mthly!Q70:Q81)/$H$3)*(1-cost_of_sale),-Model_Mthly!V69))</f>
        <v>21559005.367687024</v>
      </c>
      <c r="I69" s="231">
        <f>IF(OR($H$3&lt;=0.0075,$H$3=""),0,SUM(Model_Mthly!AQ69,(SUM(Model_Mthly!Q70:Q81)/$I$3)*(1-cost_of_sale),-Model_Mthly!V69))</f>
        <v>20645963.510347065</v>
      </c>
      <c r="J69" s="231">
        <f>IF(OR($H$3&lt;=0.0075,$H$3=""),0,SUM(Model_Mthly!AQ69,(SUM(Model_Mthly!Q70:Q81)/$J$3)*(1-cost_of_sale),-Model_Mthly!V69))</f>
        <v>19786629.997556511</v>
      </c>
      <c r="K69" s="231">
        <f>IF(OR($H$3&lt;=0.0075,$H$3=""),0,SUM(Model_Mthly!AQ69,(SUM(Model_Mthly!Q70:Q81)/$K$3)*(1-cost_of_sale),-Model_Mthly!V69))</f>
        <v>18976401.256925423</v>
      </c>
      <c r="L69" s="160"/>
      <c r="M69" s="302">
        <f>IF(OR($H$3&lt;=0.0075,$H$3="",down_payment&lt;=0),"N/A",IRR(($D$4:D68,E69),))</f>
        <v>1.8770528042603454E-2</v>
      </c>
      <c r="N69" s="288">
        <f>IF(OR($H$3&lt;=0.0075,$H$3="",down_payment&lt;=0),"N/A",IRR(($D$4:D68,F69),))</f>
        <v>1.8189681890506005E-2</v>
      </c>
      <c r="O69" s="288">
        <f>IF(OR($H$3&lt;=0.0075,$H$3="",down_payment&lt;=0),"N/A",IRR(($D$4:D68,G69),))</f>
        <v>1.7624902080196722E-2</v>
      </c>
      <c r="P69" s="303">
        <f>IF(OR($H$3&lt;=0.0075,$H$3="",down_payment&lt;=0),"N/A",IRR(($D$4:D68,H69),))</f>
        <v>1.7075097088076807E-2</v>
      </c>
      <c r="Q69" s="288">
        <f>IF(OR($H$3&lt;=0.0075,$H$3="",down_payment&lt;=0),"N/A",IRR(($D$4:D68,I69),))</f>
        <v>1.6539275954446174E-2</v>
      </c>
      <c r="R69" s="288">
        <f>IF(OR($H$3&lt;=0.0075,$H$3="",down_payment&lt;=0),"N/A",IRR(($D$4:D68,J69),))</f>
        <v>1.6016536145210314E-2</v>
      </c>
      <c r="S69" s="288">
        <f>IF(OR($H$3&lt;=0.0075,$H$3="",down_payment&lt;=0),"N/A",IRR(($D$4:D68,K69),))</f>
        <v>1.5506053181391158E-2</v>
      </c>
      <c r="T69" s="233"/>
      <c r="U69" s="304">
        <f t="shared" ref="U69:U100" si="18">IF(OR($H$3&lt;=0.0075,$H$3="",down_payment&lt;=0),"N/A",((1+M69)^12)-1)</f>
        <v>0.25001859493240519</v>
      </c>
      <c r="V69" s="304">
        <f t="shared" ref="V69:V100" si="19">IF(OR($H$3&lt;=0.0075,$H$3="",down_payment&lt;=0),"N/A",((1+N69)^12)-1)</f>
        <v>0.24149307137169185</v>
      </c>
      <c r="W69" s="304">
        <f t="shared" ref="W69:W100" si="20">IF(OR($H$3&lt;=0.0075,$H$3="",down_payment&lt;=0),"N/A",((1+O69)^12)-1)</f>
        <v>0.23325450769237333</v>
      </c>
      <c r="X69" s="305">
        <f t="shared" ref="X69:X100" si="21">IF(OR($H$3&lt;=0.0075,$H$3="",down_payment&lt;=0),"N/A",((1+P69)^12)-1)</f>
        <v>0.22528255362155436</v>
      </c>
      <c r="Y69" s="304">
        <f t="shared" ref="Y69:Y100" si="22">IF(OR($H$3&lt;=0.0075,$H$3="",down_payment&lt;=0),"N/A",((1+Q69)^12)-1)</f>
        <v>0.21755883729095071</v>
      </c>
      <c r="Z69" s="304">
        <f t="shared" ref="Z69:Z100" si="23">IF(OR($H$3&lt;=0.0075,$H$3="",down_payment&lt;=0),"N/A",((1+R69)^12)-1)</f>
        <v>0.21006671818908962</v>
      </c>
      <c r="AA69" s="304">
        <f t="shared" ref="AA69:AA100" si="24">IF(OR($H$3&lt;=0.0075,$H$3="",down_payment&lt;=0),"N/A",((1+S69)^12)-1)</f>
        <v>0.20279107716247013</v>
      </c>
      <c r="AB69" s="103"/>
      <c r="AC69" s="149">
        <f>SUM(Model_Mthly!$Q69,-IF(AND(leveraged_property,B69&lt;=amort_period),-PMT(AC$3/12,amort_period,loan_amount),0))</f>
        <v>147729.5993261908</v>
      </c>
      <c r="AD69" s="149">
        <f>AD68+IF(AND(leveraged_property,$B69&lt;=amort_period),PPMT(AD$3/12,$B69,amort_period,loan_amount),0)</f>
        <v>8615983.7719579358</v>
      </c>
      <c r="AE69" s="149">
        <f ca="1">SUM(AC69,Model_Mthly!$AA69,-AD69)</f>
        <v>21662127.119586952</v>
      </c>
      <c r="AF69" s="149">
        <f>SUM(Model_Mthly!$Q69,-IF(AND(leveraged_property,B69&lt;=amort_period),-PMT(AF$3/12,amort_period,loan_amount),0))</f>
        <v>146288.04210783378</v>
      </c>
      <c r="AG69" s="149">
        <f>AG68+IF(AND(leveraged_property,$B69&lt;=amort_period),PPMT(AG$3/12,$B69,amort_period,loan_amount),0)</f>
        <v>8649870.7116242032</v>
      </c>
      <c r="AH69" s="149">
        <f ca="1">SUM(AF69,Model_Mthly!$AA69,-AG69)</f>
        <v>21626798.62270233</v>
      </c>
      <c r="AI69" s="149">
        <f>SUM(Model_Mthly!$Q69,-IF(AND(leveraged_property,B69&lt;=amort_period),-PMT(AI$3/12,amort_period,loan_amount),0))</f>
        <v>144826.74459050709</v>
      </c>
      <c r="AJ69" s="149">
        <f>AJ68+IF(AND(leveraged_property,$B69&lt;=amort_period),PPMT(AJ$3/12,$B69,amort_period,loan_amount),0)</f>
        <v>8682780.5645689312</v>
      </c>
      <c r="AK69" s="149">
        <f ca="1">SUM(AI69,Model_Mthly!$AA69,-AJ69)</f>
        <v>21592427.472240269</v>
      </c>
      <c r="AL69" s="229">
        <f>SUM(Model_Mthly!$Q69,-IF(AND(leveraged_property,B69&lt;=amort_period),-PMT(AL$3/12,amort_period,loan_amount),0))</f>
        <v>143346.1411660217</v>
      </c>
      <c r="AM69" s="229">
        <f>AM68+IF(AND(leveraged_property,$B69&lt;=amort_period),PPMT(AM$3/12,$B69,amort_period,loan_amount),0)</f>
        <v>8714722.0656976923</v>
      </c>
      <c r="AN69" s="229">
        <f ca="1">SUM(AL69,Model_Mthly!$AA69,-AM69)</f>
        <v>21559005.367687024</v>
      </c>
      <c r="AO69" s="149">
        <f>SUM(Model_Mthly!$Q69,-IF(AND(leveraged_property,B69&lt;=amort_period),-PMT(AO$3/12,amort_period,loan_amount),0))</f>
        <v>141846.6749318495</v>
      </c>
      <c r="AP69" s="162">
        <f>AP68+IF(AND(leveraged_property,$B69&lt;=amort_period),PPMT(AP$3/12,$B69,amort_period,loan_amount),0)</f>
        <v>8745705.0670256913</v>
      </c>
      <c r="AQ69" s="149">
        <f ca="1">SUM(AO69,Model_Mthly!$AA69,-AP69)</f>
        <v>21526522.900124855</v>
      </c>
      <c r="AR69" s="149">
        <f>SUM(Model_Mthly!$Q69,-IF(AND(leveraged_property,B69&lt;=amort_period),-PMT(AR$3/12,amort_period,loan_amount),0))</f>
        <v>140328.79640447482</v>
      </c>
      <c r="AS69" s="162">
        <f>AS68+IF(AND(leveraged_property,$B69&lt;=amort_period),PPMT(AS$3/12,$B69,amort_period,loan_amount),0)</f>
        <v>8775740.4750536475</v>
      </c>
      <c r="AT69" s="149">
        <f ca="1">SUM(AR69,Model_Mthly!$AA69,-AS69)</f>
        <v>21494969.61356952</v>
      </c>
      <c r="AU69" s="149">
        <f>SUM(Model_Mthly!$Q69,-IF(AND(leveraged_property,B69&lt;=amort_period),-PMT(AU$3/12,amort_period,loan_amount),0))</f>
        <v>138792.96225347952</v>
      </c>
      <c r="AV69" s="162">
        <f>AV68+IF(AND(leveraged_property,$B69&lt;=amort_period),PPMT(AV$3/12,$B69,amort_period,loan_amount),0)</f>
        <v>8804840.1864933912</v>
      </c>
      <c r="AW69" s="149">
        <f ca="1">SUM(AU69,Model_Mthly!$AA69,-AV69)</f>
        <v>21464334.067978784</v>
      </c>
      <c r="AX69" s="103"/>
      <c r="AY69" s="288">
        <f ca="1">IF(AND(leveraged_property,down_payment&gt;0),IRR(($AC$4:AC68,AE69),),"N/A")</f>
        <v>1.742842602867966E-2</v>
      </c>
      <c r="AZ69" s="288">
        <f ca="1">IF(AND(leveraged_property,down_payment&gt;0),IRR(($AF$4:AF68,AH69),),"N/A")</f>
        <v>1.731149198612543E-2</v>
      </c>
      <c r="BA69" s="288">
        <f ca="1">IF(AND(leveraged_property,down_payment&gt;0),IRR(($AI$4:AI68,AK69),),"N/A")</f>
        <v>1.7193705255103466E-2</v>
      </c>
      <c r="BB69" s="303">
        <f ca="1">IF(AND(leveraged_property,down_payment&gt;0),IRR(($AL$4:AL68,AN69),),"N/A")</f>
        <v>1.7075097088076807E-2</v>
      </c>
      <c r="BC69" s="288">
        <f ca="1">IF(AND(leveraged_property,down_payment&gt;0),IRR(($AO$4:AO68,AQ69),),"N/A")</f>
        <v>1.6955698726010507E-2</v>
      </c>
      <c r="BD69" s="288">
        <f ca="1">IF(AND(leveraged_property,down_payment&gt;0),IRR(($AR$4:AR68,AT69),),"N/A")</f>
        <v>1.6835541325582237E-2</v>
      </c>
      <c r="BE69" s="288">
        <f ca="1">IF(AND(leveraged_property,down_payment&gt;0),IRR(($AU$4:AU68,AW69),),"N/A")</f>
        <v>1.6714655889464049E-2</v>
      </c>
      <c r="BF69" s="103"/>
      <c r="BG69" s="290">
        <f ca="1">IF(AND(leveraged_property,down_payment&gt;0),((1+AY69)^12)-1,"N/A")</f>
        <v>0.23040023983407321</v>
      </c>
      <c r="BH69" s="290">
        <f ca="1">IF(AND(leveraged_property,down_payment&gt;0),((1+AZ69)^12)-1,"N/A")</f>
        <v>0.22870437887622641</v>
      </c>
      <c r="BI69" s="290">
        <f ca="1">IF(AND(leveraged_property,down_payment&gt;0),((1+BA69)^12)-1,"N/A")</f>
        <v>0.2269983179792352</v>
      </c>
      <c r="BJ69" s="305">
        <f ca="1">IF(AND(leveraged_property,down_payment&gt;0),((1+BB69)^12)-1,"N/A")</f>
        <v>0.22528255362155436</v>
      </c>
      <c r="BK69" s="290">
        <f ca="1">IF(AND(leveraged_property,down_payment&gt;0),((1+BC69)^12)-1,"N/A")</f>
        <v>0.22355758001645376</v>
      </c>
      <c r="BL69" s="290">
        <f ca="1">IF(AND(leveraged_property,down_payment&gt;0),((1+BD69)^12)-1,"N/A")</f>
        <v>0.22182388802930286</v>
      </c>
      <c r="BM69" s="290">
        <f ca="1">IF(AND(leveraged_property,down_payment&gt;0),((1+BE69)^12)-1,"N/A")</f>
        <v>0.22008196414909498</v>
      </c>
    </row>
    <row r="70" spans="1:65">
      <c r="A70" s="137">
        <f>Model_Mthly!A70</f>
        <v>42170</v>
      </c>
      <c r="B70" s="138">
        <f>Model_Mthly!B70</f>
        <v>66</v>
      </c>
      <c r="C70" s="223"/>
      <c r="D70" s="139">
        <f>Model_Mthly!AQ70</f>
        <v>135077.79909824629</v>
      </c>
      <c r="E70" s="231">
        <f>IF(OR($H$3&lt;=0.0075,$H$3=""),0,SUM(Model_Mthly!AQ70,(SUM(Model_Mthly!Q71:Q82)/$E$3)*(1-cost_of_sale),-Model_Mthly!V70))</f>
        <v>25135244.286028475</v>
      </c>
      <c r="F70" s="231">
        <f>IF(OR($H$3&lt;=0.0075,$H$3=""),0,SUM(Model_Mthly!AQ70,(SUM(Model_Mthly!Q71:Q82)/$F$3)*(1-cost_of_sale),-Model_Mthly!V70))</f>
        <v>24011881.250240661</v>
      </c>
      <c r="G70" s="231">
        <f>IF(OR($H$3&lt;=0.0075,$H$3=""),0,SUM(Model_Mthly!AQ70,(SUM(Model_Mthly!Q71:Q82)/$G$3)*(1-cost_of_sale),-Model_Mthly!V70))</f>
        <v>22960993.249019802</v>
      </c>
      <c r="H70" s="232">
        <f>IF(OR($H$3&lt;=0.0075,$H$3=""),0,SUM(Model_Mthly!AQ70,(SUM(Model_Mthly!Q71:Q82)/$H$3)*(1-cost_of_sale),-Model_Mthly!V70))</f>
        <v>21975785.747875243</v>
      </c>
      <c r="I70" s="231">
        <f>IF(OR($H$3&lt;=0.0075,$H$3=""),0,SUM(Model_Mthly!AQ70,(SUM(Model_Mthly!Q71:Q82)/$I$3)*(1-cost_of_sale),-Model_Mthly!V70))</f>
        <v>21050287.792254604</v>
      </c>
      <c r="J70" s="231">
        <f>IF(OR($H$3&lt;=0.0075,$H$3=""),0,SUM(Model_Mthly!AQ70,(SUM(Model_Mthly!Q71:Q82)/$J$3)*(1-cost_of_sale),-Model_Mthly!V70))</f>
        <v>20179230.892846942</v>
      </c>
      <c r="K70" s="231">
        <f>IF(OR($H$3&lt;=0.0075,$H$3=""),0,SUM(Model_Mthly!AQ70,(SUM(Model_Mthly!Q71:Q82)/$K$3)*(1-cost_of_sale),-Model_Mthly!V70))</f>
        <v>19357948.673405431</v>
      </c>
      <c r="L70" s="160"/>
      <c r="M70" s="302">
        <f>IF(OR($H$3&lt;=0.0075,$H$3="",down_payment&lt;=0),"N/A",IRR(($D$4:D69,E70),))</f>
        <v>1.8841202481280947E-2</v>
      </c>
      <c r="N70" s="288">
        <f>IF(OR($H$3&lt;=0.0075,$H$3="",down_payment&lt;=0),"N/A",IRR(($D$4:D69,F70),))</f>
        <v>1.8273167101787148E-2</v>
      </c>
      <c r="O70" s="288">
        <f>IF(OR($H$3&lt;=0.0075,$H$3="",down_payment&lt;=0),"N/A",IRR(($D$4:D69,G70),))</f>
        <v>1.7720976124700149E-2</v>
      </c>
      <c r="P70" s="303">
        <f>IF(OR($H$3&lt;=0.0075,$H$3="",down_payment&lt;=0),"N/A",IRR(($D$4:D69,H70),))</f>
        <v>1.718355681153225E-2</v>
      </c>
      <c r="Q70" s="288">
        <f>IF(OR($H$3&lt;=0.0075,$H$3="",down_payment&lt;=0),"N/A",IRR(($D$4:D69,I70),))</f>
        <v>1.6659935381729076E-2</v>
      </c>
      <c r="R70" s="288">
        <f>IF(OR($H$3&lt;=0.0075,$H$3="",down_payment&lt;=0),"N/A",IRR(($D$4:D69,J70),))</f>
        <v>1.6149225072928423E-2</v>
      </c>
      <c r="S70" s="288">
        <f>IF(OR($H$3&lt;=0.0075,$H$3="",down_payment&lt;=0),"N/A",IRR(($D$4:D69,K70),))</f>
        <v>1.5650615940365722E-2</v>
      </c>
      <c r="T70" s="233"/>
      <c r="U70" s="304">
        <f t="shared" si="18"/>
        <v>0.25105959180625792</v>
      </c>
      <c r="V70" s="304">
        <f t="shared" si="19"/>
        <v>0.24271515877160388</v>
      </c>
      <c r="W70" s="304">
        <f t="shared" si="20"/>
        <v>0.23465241323781849</v>
      </c>
      <c r="X70" s="305">
        <f t="shared" si="21"/>
        <v>0.22685142631210553</v>
      </c>
      <c r="Y70" s="304">
        <f t="shared" si="22"/>
        <v>0.21929420630908636</v>
      </c>
      <c r="Z70" s="304">
        <f t="shared" si="23"/>
        <v>0.21196445700760469</v>
      </c>
      <c r="AA70" s="304">
        <f t="shared" si="24"/>
        <v>0.20484737214806215</v>
      </c>
      <c r="AB70" s="103"/>
      <c r="AC70" s="149">
        <f>SUM(Model_Mthly!$Q70,-IF(AND(leveraged_property,B70&lt;=amort_period),-PMT(AC$3/12,amort_period,loan_amount),0))</f>
        <v>139461.2572584154</v>
      </c>
      <c r="AD70" s="149">
        <f>AD69+IF(AND(leveraged_property,$B70&lt;=amort_period),PPMT(AD$3/12,$B70,amort_period,loan_amount),0)</f>
        <v>8600532.2107541393</v>
      </c>
      <c r="AE70" s="149">
        <f ca="1">SUM(AC70,Model_Mthly!$AA70,-AD70)</f>
        <v>22080361.581985451</v>
      </c>
      <c r="AF70" s="149">
        <f>SUM(Model_Mthly!$Q70,-IF(AND(leveraged_property,B70&lt;=amort_period),-PMT(AF$3/12,amort_period,loan_amount),0))</f>
        <v>138019.70004005841</v>
      </c>
      <c r="AG70" s="149">
        <f>AG69+IF(AND(leveraged_property,$B70&lt;=amort_period),PPMT(AG$3/12,$B70,amort_period,loan_amount),0)</f>
        <v>8634913.7854031511</v>
      </c>
      <c r="AH70" s="149">
        <f ca="1">SUM(AF70,Model_Mthly!$AA70,-AG70)</f>
        <v>22044538.45011808</v>
      </c>
      <c r="AI70" s="149">
        <f>SUM(Model_Mthly!$Q70,-IF(AND(leveraged_property,B70&lt;=amort_period),-PMT(AI$3/12,amort_period,loan_amount),0))</f>
        <v>136558.40252273169</v>
      </c>
      <c r="AJ70" s="149">
        <f>AJ69+IF(AND(leveraged_property,$B70&lt;=amort_period),PPMT(AJ$3/12,$B70,amort_period,loan_amount),0)</f>
        <v>8668308.3778354395</v>
      </c>
      <c r="AK70" s="149">
        <f ca="1">SUM(AI70,Model_Mthly!$AA70,-AJ70)</f>
        <v>22009682.560168467</v>
      </c>
      <c r="AL70" s="229">
        <f>SUM(Model_Mthly!$Q70,-IF(AND(leveraged_property,B70&lt;=amort_period),-PMT(AL$3/12,amort_period,loan_amount),0))</f>
        <v>135077.79909824629</v>
      </c>
      <c r="AM70" s="229">
        <f>AM69+IF(AND(leveraged_property,$B70&lt;=amort_period),PPMT(AM$3/12,$B70,amort_period,loan_amount),0)</f>
        <v>8700724.5867041741</v>
      </c>
      <c r="AN70" s="229">
        <f ca="1">SUM(AL70,Model_Mthly!$AA70,-AM70)</f>
        <v>21975785.747875243</v>
      </c>
      <c r="AO70" s="149">
        <f>SUM(Model_Mthly!$Q70,-IF(AND(leveraged_property,B70&lt;=amort_period),-PMT(AO$3/12,amort_period,loan_amount),0))</f>
        <v>133578.33286407409</v>
      </c>
      <c r="AP70" s="162">
        <f>AP69+IF(AND(leveraged_property,$B70&lt;=amort_period),PPMT(AP$3/12,$B70,amort_period,loan_amount),0)</f>
        <v>8732172.1491097193</v>
      </c>
      <c r="AQ70" s="149">
        <f ca="1">SUM(AO70,Model_Mthly!$AA70,-AP70)</f>
        <v>21942838.719235532</v>
      </c>
      <c r="AR70" s="149">
        <f>SUM(Model_Mthly!$Q70,-IF(AND(leveraged_property,B70&lt;=amort_period),-PMT(AR$3/12,amort_period,loan_amount),0))</f>
        <v>132060.45433669942</v>
      </c>
      <c r="AS70" s="162">
        <f>AS69+IF(AND(leveraged_property,$B70&lt;=amort_period),PPMT(AS$3/12,$B70,amort_period,loan_amount),0)</f>
        <v>8762661.8775394037</v>
      </c>
      <c r="AT70" s="149">
        <f ca="1">SUM(AR70,Model_Mthly!$AA70,-AS70)</f>
        <v>21910831.112278469</v>
      </c>
      <c r="AU70" s="149">
        <f>SUM(Model_Mthly!$Q70,-IF(AND(leveraged_property,B70&lt;=amort_period),-PMT(AU$3/12,amort_period,loan_amount),0))</f>
        <v>130524.62018570413</v>
      </c>
      <c r="AV70" s="162">
        <f>AV69+IF(AND(leveraged_property,$B70&lt;=amort_period),PPMT(AV$3/12,$B70,amort_period,loan_amount),0)</f>
        <v>8792205.5950908698</v>
      </c>
      <c r="AW70" s="149">
        <f ca="1">SUM(AU70,Model_Mthly!$AA70,-AV70)</f>
        <v>21879751.560576007</v>
      </c>
      <c r="AX70" s="103"/>
      <c r="AY70" s="288">
        <f ca="1">IF(AND(leveraged_property,down_payment&gt;0),IRR(($AC$4:AC69,AE70),),"N/A")</f>
        <v>1.753358158949898E-2</v>
      </c>
      <c r="AZ70" s="288">
        <f ca="1">IF(AND(leveraged_property,down_payment&gt;0),IRR(($AF$4:AF69,AH70),),"N/A")</f>
        <v>1.7417749803508773E-2</v>
      </c>
      <c r="BA70" s="288">
        <f ca="1">IF(AND(leveraged_property,down_payment&gt;0),IRR(($AI$4:AI69,AK70),),"N/A")</f>
        <v>1.7301064458255241E-2</v>
      </c>
      <c r="BB70" s="303">
        <f ca="1">IF(AND(leveraged_property,down_payment&gt;0),IRR(($AL$4:AL69,AN70),),"N/A")</f>
        <v>1.718355681153225E-2</v>
      </c>
      <c r="BC70" s="288">
        <f ca="1">IF(AND(leveraged_property,down_payment&gt;0),IRR(($AO$4:AO69,AQ70),),"N/A")</f>
        <v>1.7065258116564411E-2</v>
      </c>
      <c r="BD70" s="288">
        <f ca="1">IF(AND(leveraged_property,down_payment&gt;0),IRR(($AR$4:AR69,AT70),),"N/A")</f>
        <v>1.6946199548933609E-2</v>
      </c>
      <c r="BE70" s="288">
        <f ca="1">IF(AND(leveraged_property,down_payment&gt;0),IRR(($AU$4:AU69,AW70),),"N/A")</f>
        <v>1.6826412136560286E-2</v>
      </c>
      <c r="BF70" s="103"/>
      <c r="BG70" s="290">
        <f ca="1">IF(AND(leveraged_property,down_payment&gt;0),((1+AY70)^12)-1,"N/A")</f>
        <v>0.23192711284555334</v>
      </c>
      <c r="BH70" s="290">
        <f ca="1">IF(AND(leveraged_property,down_payment&gt;0),((1+AZ70)^12)-1,"N/A")</f>
        <v>0.23024531663857561</v>
      </c>
      <c r="BI70" s="290">
        <f ca="1">IF(AND(leveraged_property,down_payment&gt;0),((1+BA70)^12)-1,"N/A")</f>
        <v>0.22855325552438899</v>
      </c>
      <c r="BJ70" s="305">
        <f ca="1">IF(AND(leveraged_property,down_payment&gt;0),((1+BB70)^12)-1,"N/A")</f>
        <v>0.22685142631210553</v>
      </c>
      <c r="BK70" s="290">
        <f ca="1">IF(AND(leveraged_property,down_payment&gt;0),((1+BC70)^12)-1,"N/A")</f>
        <v>0.22514032366700332</v>
      </c>
      <c r="BL70" s="290">
        <f ca="1">IF(AND(leveraged_property,down_payment&gt;0),((1+BD70)^12)-1,"N/A")</f>
        <v>0.22342043902158992</v>
      </c>
      <c r="BM70" s="290">
        <f ca="1">IF(AND(leveraged_property,down_payment&gt;0),((1+BE70)^12)-1,"N/A")</f>
        <v>0.22169225954072247</v>
      </c>
    </row>
    <row r="71" spans="1:65">
      <c r="A71" s="137">
        <f>Model_Mthly!A71</f>
        <v>42200</v>
      </c>
      <c r="B71" s="138">
        <f>Model_Mthly!B71</f>
        <v>67</v>
      </c>
      <c r="C71" s="223"/>
      <c r="D71" s="139">
        <f>Model_Mthly!AQ71</f>
        <v>133669.55315503394</v>
      </c>
      <c r="E71" s="231">
        <f>IF(OR($H$3&lt;=0.0075,$H$3=""),0,SUM(Model_Mthly!AQ71,(SUM(Model_Mthly!Q72:Q83)/$E$3)*(1-cost_of_sale),-Model_Mthly!V71))</f>
        <v>25595100.352663293</v>
      </c>
      <c r="F71" s="231">
        <f>IF(OR($H$3&lt;=0.0075,$H$3=""),0,SUM(Model_Mthly!AQ71,(SUM(Model_Mthly!Q72:Q83)/$F$3)*(1-cost_of_sale),-Model_Mthly!V71))</f>
        <v>24456830.560926393</v>
      </c>
      <c r="G71" s="231">
        <f>IF(OR($H$3&lt;=0.0075,$H$3=""),0,SUM(Model_Mthly!AQ71,(SUM(Model_Mthly!Q72:Q83)/$G$3)*(1-cost_of_sale),-Model_Mthly!V71))</f>
        <v>23391997.529946715</v>
      </c>
      <c r="H71" s="232">
        <f>IF(OR($H$3&lt;=0.0075,$H$3=""),0,SUM(Model_Mthly!AQ71,(SUM(Model_Mthly!Q72:Q83)/$H$3)*(1-cost_of_sale),-Model_Mthly!V71))</f>
        <v>22393716.563403271</v>
      </c>
      <c r="I71" s="231">
        <f>IF(OR($H$3&lt;=0.0075,$H$3=""),0,SUM(Model_Mthly!AQ71,(SUM(Model_Mthly!Q72:Q83)/$I$3)*(1-cost_of_sale),-Model_Mthly!V71))</f>
        <v>21455937.473620027</v>
      </c>
      <c r="J71" s="231">
        <f>IF(OR($H$3&lt;=0.0075,$H$3=""),0,SUM(Model_Mthly!AQ71,(SUM(Model_Mthly!Q72:Q83)/$J$3)*(1-cost_of_sale),-Model_Mthly!V71))</f>
        <v>20573321.859706394</v>
      </c>
      <c r="K71" s="231">
        <f>IF(OR($H$3&lt;=0.0075,$H$3=""),0,SUM(Model_Mthly!AQ71,(SUM(Model_Mthly!Q72:Q83)/$K$3)*(1-cost_of_sale),-Model_Mthly!V71))</f>
        <v>19741141.423730686</v>
      </c>
      <c r="L71" s="160"/>
      <c r="M71" s="302">
        <f>IF(OR($H$3&lt;=0.0075,$H$3="",down_payment&lt;=0),"N/A",IRR(($D$4:D70,E71),))</f>
        <v>1.8900666335868607E-2</v>
      </c>
      <c r="N71" s="288">
        <f>IF(OR($H$3&lt;=0.0075,$H$3="",down_payment&lt;=0),"N/A",IRR(($D$4:D70,F71),))</f>
        <v>1.8344895016450175E-2</v>
      </c>
      <c r="O71" s="288">
        <f>IF(OR($H$3&lt;=0.0075,$H$3="",down_payment&lt;=0),"N/A",IRR(($D$4:D70,G71),))</f>
        <v>1.780474929222757E-2</v>
      </c>
      <c r="P71" s="303">
        <f>IF(OR($H$3&lt;=0.0075,$H$3="",down_payment&lt;=0),"N/A",IRR(($D$4:D70,H71),))</f>
        <v>1.7279174534851786E-2</v>
      </c>
      <c r="Q71" s="288">
        <f>IF(OR($H$3&lt;=0.0075,$H$3="",down_payment&lt;=0),"N/A",IRR(($D$4:D70,I71),))</f>
        <v>1.676721351240534E-2</v>
      </c>
      <c r="R71" s="288">
        <f>IF(OR($H$3&lt;=0.0075,$H$3="",down_payment&lt;=0),"N/A",IRR(($D$4:D70,J71),))</f>
        <v>1.6267994641974988E-2</v>
      </c>
      <c r="S71" s="288">
        <f>IF(OR($H$3&lt;=0.0075,$H$3="",down_payment&lt;=0),"N/A",IRR(($D$4:D70,K71),))</f>
        <v>1.5780721953576181E-2</v>
      </c>
      <c r="T71" s="233"/>
      <c r="U71" s="304">
        <f t="shared" si="18"/>
        <v>0.25193607827470799</v>
      </c>
      <c r="V71" s="304">
        <f t="shared" si="19"/>
        <v>0.24376601913180274</v>
      </c>
      <c r="W71" s="304">
        <f t="shared" si="20"/>
        <v>0.23587252269678416</v>
      </c>
      <c r="X71" s="305">
        <f t="shared" si="21"/>
        <v>0.22823606618728709</v>
      </c>
      <c r="Y71" s="304">
        <f t="shared" si="22"/>
        <v>0.2208390242603282</v>
      </c>
      <c r="Z71" s="304">
        <f t="shared" si="23"/>
        <v>0.21366543237982127</v>
      </c>
      <c r="AA71" s="304">
        <f t="shared" si="24"/>
        <v>0.20670078564587402</v>
      </c>
      <c r="AB71" s="103"/>
      <c r="AC71" s="149">
        <f>SUM(Model_Mthly!$Q71,-IF(AND(leveraged_property,B71&lt;=amort_period),-PMT(AC$3/12,amort_period,loan_amount),0))</f>
        <v>138053.01131520304</v>
      </c>
      <c r="AD71" s="149">
        <f>AD70+IF(AND(leveraged_property,$B71&lt;=amort_period),PPMT(AD$3/12,$B71,amort_period,loan_amount),0)</f>
        <v>8585019.4871205781</v>
      </c>
      <c r="AE71" s="149">
        <f ca="1">SUM(AC71,Model_Mthly!$AA71,-AD71)</f>
        <v>22499743.487041466</v>
      </c>
      <c r="AF71" s="149">
        <f>SUM(Model_Mthly!$Q71,-IF(AND(leveraged_property,B71&lt;=amort_period),-PMT(AF$3/12,amort_period,loan_amount),0))</f>
        <v>136611.45409684605</v>
      </c>
      <c r="AG71" s="149">
        <f>AG70+IF(AND(leveraged_property,$B71&lt;=amort_period),PPMT(AG$3/12,$B71,amort_period,loan_amount),0)</f>
        <v>8619894.538656177</v>
      </c>
      <c r="AH71" s="149">
        <f ca="1">SUM(AF71,Model_Mthly!$AA71,-AG71)</f>
        <v>22463426.878287509</v>
      </c>
      <c r="AI71" s="149">
        <f>SUM(Model_Mthly!$Q71,-IF(AND(leveraged_property,B71&lt;=amort_period),-PMT(AI$3/12,amort_period,loan_amount),0))</f>
        <v>135150.15657951933</v>
      </c>
      <c r="AJ71" s="149">
        <f>AJ70+IF(AND(leveraged_property,$B71&lt;=amort_period),PPMT(AJ$3/12,$B71,amort_period,loan_amount),0)</f>
        <v>8653772.8752849903</v>
      </c>
      <c r="AK71" s="149">
        <f ca="1">SUM(AI71,Model_Mthly!$AA71,-AJ71)</f>
        <v>22428087.24414137</v>
      </c>
      <c r="AL71" s="229">
        <f>SUM(Model_Mthly!$Q71,-IF(AND(leveraged_property,B71&lt;=amort_period),-PMT(AL$3/12,amort_period,loan_amount),0))</f>
        <v>133669.55315503394</v>
      </c>
      <c r="AM71" s="229">
        <f>AM70+IF(AND(leveraged_property,$B71&lt;=amort_period),PPMT(AM$3/12,$B71,amort_period,loan_amount),0)</f>
        <v>8686662.9525986034</v>
      </c>
      <c r="AN71" s="229">
        <f ca="1">SUM(AL71,Model_Mthly!$AA71,-AM71)</f>
        <v>22393716.563403271</v>
      </c>
      <c r="AO71" s="149">
        <f>SUM(Model_Mthly!$Q71,-IF(AND(leveraged_property,B71&lt;=amort_period),-PMT(AO$3/12,amort_period,loan_amount),0))</f>
        <v>132170.08692086174</v>
      </c>
      <c r="AP71" s="162">
        <f>AP70+IF(AND(leveraged_property,$B71&lt;=amort_period),PPMT(AP$3/12,$B71,amort_period,loan_amount),0)</f>
        <v>8718574.3859620653</v>
      </c>
      <c r="AQ71" s="149">
        <f ca="1">SUM(AO71,Model_Mthly!$AA71,-AP71)</f>
        <v>22360305.663805634</v>
      </c>
      <c r="AR71" s="149">
        <f>SUM(Model_Mthly!$Q71,-IF(AND(leveraged_property,B71&lt;=amort_period),-PMT(AR$3/12,amort_period,loan_amount),0))</f>
        <v>130652.20839348706</v>
      </c>
      <c r="AS71" s="162">
        <f>AS70+IF(AND(leveraged_property,$B71&lt;=amort_period),PPMT(AS$3/12,$B71,amort_period,loan_amount),0)</f>
        <v>8749517.8870375883</v>
      </c>
      <c r="AT71" s="149">
        <f ca="1">SUM(AR71,Model_Mthly!$AA71,-AS71)</f>
        <v>22327844.28420274</v>
      </c>
      <c r="AU71" s="149">
        <f>SUM(Model_Mthly!$Q71,-IF(AND(leveraged_property,B71&lt;=amort_period),-PMT(AU$3/12,amort_period,loan_amount),0))</f>
        <v>129116.37424249177</v>
      </c>
      <c r="AV71" s="162">
        <f>AV70+IF(AND(leveraged_property,$B71&lt;=amort_period),PPMT(AV$3/12,$B71,amort_period,loan_amount),0)</f>
        <v>8779505.1985247936</v>
      </c>
      <c r="AW71" s="149">
        <f ca="1">SUM(AU71,Model_Mthly!$AA71,-AV71)</f>
        <v>22296321.138564534</v>
      </c>
      <c r="AX71" s="103"/>
      <c r="AY71" s="288">
        <f ca="1">IF(AND(leveraged_property,down_payment&gt;0),IRR(($AC$4:AC70,AE71),),"N/A")</f>
        <v>1.7626063191344105E-2</v>
      </c>
      <c r="AZ71" s="288">
        <f ca="1">IF(AND(leveraged_property,down_payment&gt;0),IRR(($AF$4:AF70,AH71),),"N/A")</f>
        <v>1.7511277635903811E-2</v>
      </c>
      <c r="BA71" s="288">
        <f ca="1">IF(AND(leveraged_property,down_payment&gt;0),IRR(($AI$4:AI70,AK71),),"N/A")</f>
        <v>1.739563766159332E-2</v>
      </c>
      <c r="BB71" s="303">
        <f ca="1">IF(AND(leveraged_property,down_payment&gt;0),IRR(($AL$4:AL70,AN71),),"N/A")</f>
        <v>1.7279174534851786E-2</v>
      </c>
      <c r="BC71" s="288">
        <f ca="1">IF(AND(leveraged_property,down_payment&gt;0),IRR(($AO$4:AO70,AQ71),),"N/A")</f>
        <v>1.7161919524173383E-2</v>
      </c>
      <c r="BD71" s="288">
        <f ca="1">IF(AND(leveraged_property,down_payment&gt;0),IRR(($AR$4:AR70,AT71),),"N/A")</f>
        <v>1.7043903826754397E-2</v>
      </c>
      <c r="BE71" s="288">
        <f ca="1">IF(AND(leveraged_property,down_payment&gt;0),IRR(($AU$4:AU70,AW71),),"N/A")</f>
        <v>1.6925158498176052E-2</v>
      </c>
      <c r="BF71" s="103"/>
      <c r="BG71" s="290">
        <f ca="1">IF(AND(leveraged_property,down_payment&gt;0),((1+AY71)^12)-1,"N/A")</f>
        <v>0.23327139353555348</v>
      </c>
      <c r="BH71" s="290">
        <f ca="1">IF(AND(leveraged_property,down_payment&gt;0),((1+AZ71)^12)-1,"N/A")</f>
        <v>0.23160311135789824</v>
      </c>
      <c r="BI71" s="290">
        <f ca="1">IF(AND(leveraged_property,down_payment&gt;0),((1+BA71)^12)-1,"N/A")</f>
        <v>0.2299245031965893</v>
      </c>
      <c r="BJ71" s="305">
        <f ca="1">IF(AND(leveraged_property,down_payment&gt;0),((1+BB71)^12)-1,"N/A")</f>
        <v>0.22823606618728709</v>
      </c>
      <c r="BK71" s="290">
        <f ca="1">IF(AND(leveraged_property,down_payment&gt;0),((1+BC71)^12)-1,"N/A")</f>
        <v>0.2265382954378643</v>
      </c>
      <c r="BL71" s="290">
        <f ca="1">IF(AND(leveraged_property,down_payment&gt;0),((1+BD71)^12)-1,"N/A")</f>
        <v>0.22483168293350064</v>
      </c>
      <c r="BM71" s="290">
        <f ca="1">IF(AND(leveraged_property,down_payment&gt;0),((1+BE71)^12)-1,"N/A")</f>
        <v>0.22311671649556275</v>
      </c>
    </row>
    <row r="72" spans="1:65">
      <c r="A72" s="137">
        <f>Model_Mthly!A72</f>
        <v>42231</v>
      </c>
      <c r="B72" s="138">
        <f>Model_Mthly!B72</f>
        <v>68</v>
      </c>
      <c r="C72" s="223"/>
      <c r="D72" s="139">
        <f>Model_Mthly!AQ72</f>
        <v>148821.07922682169</v>
      </c>
      <c r="E72" s="231">
        <f>IF(OR($H$3&lt;=0.0075,$H$3=""),0,SUM(Model_Mthly!AQ72,(SUM(Model_Mthly!Q73:Q84)/$E$3)*(1-cost_of_sale),-Model_Mthly!V72))</f>
        <v>26082956.197257549</v>
      </c>
      <c r="F72" s="231">
        <f>IF(OR($H$3&lt;=0.0075,$H$3=""),0,SUM(Model_Mthly!AQ72,(SUM(Model_Mthly!Q73:Q84)/$F$3)*(1-cost_of_sale),-Model_Mthly!V72))</f>
        <v>24929400.464345299</v>
      </c>
      <c r="G72" s="231">
        <f>IF(OR($H$3&lt;=0.0075,$H$3=""),0,SUM(Model_Mthly!AQ72,(SUM(Model_Mthly!Q73:Q84)/$G$3)*(1-cost_of_sale),-Model_Mthly!V72))</f>
        <v>23850267.681943513</v>
      </c>
      <c r="H72" s="232">
        <f>IF(OR($H$3&lt;=0.0075,$H$3=""),0,SUM(Model_Mthly!AQ72,(SUM(Model_Mthly!Q73:Q84)/$H$3)*(1-cost_of_sale),-Model_Mthly!V72))</f>
        <v>22838580.698441848</v>
      </c>
      <c r="I72" s="231">
        <f>IF(OR($H$3&lt;=0.0075,$H$3=""),0,SUM(Model_Mthly!AQ72,(SUM(Model_Mthly!Q73:Q84)/$I$3)*(1-cost_of_sale),-Model_Mthly!V72))</f>
        <v>21888208.077576645</v>
      </c>
      <c r="J72" s="231">
        <f>IF(OR($H$3&lt;=0.0075,$H$3=""),0,SUM(Model_Mthly!AQ72,(SUM(Model_Mthly!Q73:Q84)/$J$3)*(1-cost_of_sale),-Model_Mthly!V72))</f>
        <v>20993739.728527039</v>
      </c>
      <c r="K72" s="231">
        <f>IF(OR($H$3&lt;=0.0075,$H$3=""),0,SUM(Model_Mthly!AQ72,(SUM(Model_Mthly!Q73:Q84)/$K$3)*(1-cost_of_sale),-Model_Mthly!V72))</f>
        <v>20150383.856565982</v>
      </c>
      <c r="L72" s="160"/>
      <c r="M72" s="302">
        <f>IF(OR($H$3&lt;=0.0075,$H$3="",down_payment&lt;=0),"N/A",IRR(($D$4:D71,E72),))</f>
        <v>1.896567992810913E-2</v>
      </c>
      <c r="N72" s="288">
        <f>IF(OR($H$3&lt;=0.0075,$H$3="",down_payment&lt;=0),"N/A",IRR(($D$4:D71,F72),))</f>
        <v>1.8421998976851227E-2</v>
      </c>
      <c r="O72" s="288">
        <f>IF(OR($H$3&lt;=0.0075,$H$3="",down_payment&lt;=0),"N/A",IRR(($D$4:D71,G72),))</f>
        <v>1.789373246475669E-2</v>
      </c>
      <c r="P72" s="303">
        <f>IF(OR($H$3&lt;=0.0075,$H$3="",down_payment&lt;=0),"N/A",IRR(($D$4:D71,H72),))</f>
        <v>1.7379843327373898E-2</v>
      </c>
      <c r="Q72" s="288">
        <f>IF(OR($H$3&lt;=0.0075,$H$3="",down_payment&lt;=0),"N/A",IRR(($D$4:D71,I72),))</f>
        <v>1.6879390381952211E-2</v>
      </c>
      <c r="R72" s="288">
        <f>IF(OR($H$3&lt;=0.0075,$H$3="",down_payment&lt;=0),"N/A",IRR(($D$4:D71,J72),))</f>
        <v>1.6391516766388895E-2</v>
      </c>
      <c r="S72" s="288">
        <f>IF(OR($H$3&lt;=0.0075,$H$3="",down_payment&lt;=0),"N/A",IRR(($D$4:D71,K72),))</f>
        <v>1.5915440062581134E-2</v>
      </c>
      <c r="T72" s="233"/>
      <c r="U72" s="304">
        <f t="shared" si="18"/>
        <v>0.25289501099058542</v>
      </c>
      <c r="V72" s="304">
        <f t="shared" si="19"/>
        <v>0.24489655043220804</v>
      </c>
      <c r="W72" s="304">
        <f t="shared" si="20"/>
        <v>0.23716972339788844</v>
      </c>
      <c r="X72" s="305">
        <f t="shared" si="21"/>
        <v>0.22969539845831677</v>
      </c>
      <c r="Y72" s="304">
        <f t="shared" si="22"/>
        <v>0.22245630337434852</v>
      </c>
      <c r="Z72" s="304">
        <f t="shared" si="23"/>
        <v>0.21543679337467725</v>
      </c>
      <c r="AA72" s="304">
        <f t="shared" si="24"/>
        <v>0.20862265414766878</v>
      </c>
      <c r="AB72" s="103"/>
      <c r="AC72" s="149">
        <f>SUM(Model_Mthly!$Q72,-IF(AND(leveraged_property,B72&lt;=amort_period),-PMT(AC$3/12,amort_period,loan_amount),0))</f>
        <v>153204.53738699079</v>
      </c>
      <c r="AD72" s="149">
        <f>AD71+IF(AND(leveraged_property,$B72&lt;=amort_period),PPMT(AD$3/12,$B72,amort_period,loan_amount),0)</f>
        <v>8569445.3589559682</v>
      </c>
      <c r="AE72" s="149">
        <f ca="1">SUM(AC72,Model_Mthly!$AA72,-AD72)</f>
        <v>22946055.666982763</v>
      </c>
      <c r="AF72" s="149">
        <f>SUM(Model_Mthly!$Q72,-IF(AND(leveraged_property,B72&lt;=amort_period),-PMT(AF$3/12,amort_period,loan_amount),0))</f>
        <v>151762.9801686338</v>
      </c>
      <c r="AG72" s="149">
        <f>AG71+IF(AND(leveraged_property,$B72&lt;=amort_period),PPMT(AG$3/12,$B72,amort_period,loan_amount),0)</f>
        <v>8604812.7117144242</v>
      </c>
      <c r="AH72" s="149">
        <f ca="1">SUM(AF72,Model_Mthly!$AA72,-AG72)</f>
        <v>22909246.757005949</v>
      </c>
      <c r="AI72" s="149">
        <f>SUM(Model_Mthly!$Q72,-IF(AND(leveraged_property,B72&lt;=amort_period),-PMT(AI$3/12,amort_period,loan_amount),0))</f>
        <v>150301.68265130708</v>
      </c>
      <c r="AJ72" s="149">
        <f>AJ71+IF(AND(leveraged_property,$B72&lt;=amort_period),PPMT(AJ$3/12,$B72,amort_period,loan_amount),0)</f>
        <v>8639173.7799108829</v>
      </c>
      <c r="AK72" s="149">
        <f ca="1">SUM(AI72,Model_Mthly!$AA72,-AJ72)</f>
        <v>22873424.391292162</v>
      </c>
      <c r="AL72" s="229">
        <f>SUM(Model_Mthly!$Q72,-IF(AND(leveraged_property,B72&lt;=amort_period),-PMT(AL$3/12,amort_period,loan_amount),0))</f>
        <v>148821.07922682169</v>
      </c>
      <c r="AM72" s="229">
        <f>AM71+IF(AND(leveraged_property,$B72&lt;=amort_period),PPMT(AM$3/12,$B72,amort_period,loan_amount),0)</f>
        <v>8672536.869336715</v>
      </c>
      <c r="AN72" s="229">
        <f ca="1">SUM(AL72,Model_Mthly!$AA72,-AM72)</f>
        <v>22838580.698441848</v>
      </c>
      <c r="AO72" s="149">
        <f>SUM(Model_Mthly!$Q72,-IF(AND(leveraged_property,B72&lt;=amort_period),-PMT(AO$3/12,amort_period,loan_amount),0))</f>
        <v>147321.61299264949</v>
      </c>
      <c r="AP72" s="162">
        <f>AP71+IF(AND(leveraged_property,$B72&lt;=amort_period),PPMT(AP$3/12,$B72,amort_period,loan_amount),0)</f>
        <v>8704911.4668659959</v>
      </c>
      <c r="AQ72" s="149">
        <f ca="1">SUM(AO72,Model_Mthly!$AA72,-AP72)</f>
        <v>22804706.634678394</v>
      </c>
      <c r="AR72" s="149">
        <f>SUM(Model_Mthly!$Q72,-IF(AND(leveraged_property,B72&lt;=amort_period),-PMT(AR$3/12,amort_period,loan_amount),0))</f>
        <v>145803.73446527481</v>
      </c>
      <c r="AS72" s="162">
        <f>AS71+IF(AND(leveraged_property,$B72&lt;=amort_period),PPMT(AS$3/12,$B72,amort_period,loan_amount),0)</f>
        <v>8736308.176583264</v>
      </c>
      <c r="AT72" s="149">
        <f ca="1">SUM(AR72,Model_Mthly!$AA72,-AS72)</f>
        <v>22771792.046433751</v>
      </c>
      <c r="AU72" s="149">
        <f>SUM(Model_Mthly!$Q72,-IF(AND(leveraged_property,B72&lt;=amort_period),-PMT(AU$3/12,amort_period,loan_amount),0))</f>
        <v>144267.90031427954</v>
      </c>
      <c r="AV72" s="162">
        <f>AV71+IF(AND(leveraged_property,$B72&lt;=amort_period),PPMT(AV$3/12,$B72,amort_period,loan_amount),0)</f>
        <v>8766738.6540599354</v>
      </c>
      <c r="AW72" s="149">
        <f ca="1">SUM(AU72,Model_Mthly!$AA72,-AV72)</f>
        <v>22739825.734806083</v>
      </c>
      <c r="AX72" s="103"/>
      <c r="AY72" s="288">
        <f ca="1">IF(AND(leveraged_property,down_payment&gt;0),IRR(($AC$4:AC71,AE72),),"N/A")</f>
        <v>1.7723534588972831E-2</v>
      </c>
      <c r="AZ72" s="288">
        <f ca="1">IF(AND(leveraged_property,down_payment&gt;0),IRR(($AF$4:AF71,AH72),),"N/A")</f>
        <v>1.76098152623822E-2</v>
      </c>
      <c r="BA72" s="288">
        <f ca="1">IF(AND(leveraged_property,down_payment&gt;0),IRR(($AI$4:AI71,AK72),),"N/A")</f>
        <v>1.7495241087630158E-2</v>
      </c>
      <c r="BB72" s="303">
        <f ca="1">IF(AND(leveraged_property,down_payment&gt;0),IRR(($AL$4:AL71,AN72),),"N/A")</f>
        <v>1.7379843327373898E-2</v>
      </c>
      <c r="BC72" s="288">
        <f ca="1">IF(AND(leveraged_property,down_payment&gt;0),IRR(($AO$4:AO71,AQ72),),"N/A")</f>
        <v>1.7263653252826933E-2</v>
      </c>
      <c r="BD72" s="288">
        <f ca="1">IF(AND(leveraged_property,down_payment&gt;0),IRR(($AR$4:AR71,AT72),),"N/A")</f>
        <v>1.7146702070159187E-2</v>
      </c>
      <c r="BE72" s="288">
        <f ca="1">IF(AND(leveraged_property,down_payment&gt;0),IRR(($AU$4:AU71,AW72),),"N/A")</f>
        <v>1.7029020849921275E-2</v>
      </c>
      <c r="BF72" s="103"/>
      <c r="BG72" s="290">
        <f ca="1">IF(AND(leveraged_property,down_payment&gt;0),((1+AY72)^12)-1,"N/A")</f>
        <v>0.23468965949102683</v>
      </c>
      <c r="BH72" s="290">
        <f ca="1">IF(AND(leveraged_property,down_payment&gt;0),((1+AZ72)^12)-1,"N/A")</f>
        <v>0.2330351219169351</v>
      </c>
      <c r="BI72" s="290">
        <f ca="1">IF(AND(leveraged_property,down_payment&gt;0),((1+BA72)^12)-1,"N/A")</f>
        <v>0.23137020248042317</v>
      </c>
      <c r="BJ72" s="305">
        <f ca="1">IF(AND(leveraged_property,down_payment&gt;0),((1+BB72)^12)-1,"N/A")</f>
        <v>0.22969539845831677</v>
      </c>
      <c r="BK72" s="290">
        <f ca="1">IF(AND(leveraged_property,down_payment&gt;0),((1+BC72)^12)-1,"N/A")</f>
        <v>0.22801120521510843</v>
      </c>
      <c r="BL72" s="290">
        <f ca="1">IF(AND(leveraged_property,down_payment&gt;0),((1+BD72)^12)-1,"N/A")</f>
        <v>0.22631811510257993</v>
      </c>
      <c r="BM72" s="290">
        <f ca="1">IF(AND(leveraged_property,down_payment&gt;0),((1+BE72)^12)-1,"N/A")</f>
        <v>0.22461661641297681</v>
      </c>
    </row>
    <row r="73" spans="1:65">
      <c r="A73" s="137">
        <f>Model_Mthly!A73</f>
        <v>42262</v>
      </c>
      <c r="B73" s="138">
        <f>Model_Mthly!B73</f>
        <v>69</v>
      </c>
      <c r="C73" s="223"/>
      <c r="D73" s="139">
        <f>Model_Mthly!AQ73</f>
        <v>148821.07922682169</v>
      </c>
      <c r="E73" s="231">
        <f>IF(OR($H$3&lt;=0.0075,$H$3=""),0,SUM(Model_Mthly!AQ73,(SUM(Model_Mthly!Q74:Q85)/$E$3)*(1-cost_of_sale),-Model_Mthly!V73))</f>
        <v>26555725.260328308</v>
      </c>
      <c r="F73" s="231">
        <f>IF(OR($H$3&lt;=0.0075,$H$3=""),0,SUM(Model_Mthly!AQ73,(SUM(Model_Mthly!Q74:Q85)/$F$3)*(1-cost_of_sale),-Model_Mthly!V73))</f>
        <v>25386883.586240709</v>
      </c>
      <c r="G73" s="231">
        <f>IF(OR($H$3&lt;=0.0075,$H$3=""),0,SUM(Model_Mthly!AQ73,(SUM(Model_Mthly!Q74:Q85)/$G$3)*(1-cost_of_sale),-Model_Mthly!V73))</f>
        <v>24293451.052416816</v>
      </c>
      <c r="H73" s="232">
        <f>IF(OR($H$3&lt;=0.0075,$H$3=""),0,SUM(Model_Mthly!AQ73,(SUM(Model_Mthly!Q74:Q85)/$H$3)*(1-cost_of_sale),-Model_Mthly!V73))</f>
        <v>23268358.051956922</v>
      </c>
      <c r="I73" s="231">
        <f>IF(OR($H$3&lt;=0.0075,$H$3=""),0,SUM(Model_Mthly!AQ73,(SUM(Model_Mthly!Q74:Q85)/$I$3)*(1-cost_of_sale),-Model_Mthly!V73))</f>
        <v>22305391.900009751</v>
      </c>
      <c r="J73" s="231">
        <f>IF(OR($H$3&lt;=0.0075,$H$3=""),0,SUM(Model_Mthly!AQ73,(SUM(Model_Mthly!Q74:Q85)/$J$3)*(1-cost_of_sale),-Model_Mthly!V73))</f>
        <v>21399070.815824181</v>
      </c>
      <c r="K73" s="231">
        <f>IF(OR($H$3&lt;=0.0075,$H$3=""),0,SUM(Model_Mthly!AQ73,(SUM(Model_Mthly!Q74:Q85)/$K$3)*(1-cost_of_sale),-Model_Mthly!V73))</f>
        <v>20544539.507877782</v>
      </c>
      <c r="L73" s="160"/>
      <c r="M73" s="302">
        <f>IF(OR($H$3&lt;=0.0075,$H$3="",down_payment&lt;=0),"N/A",IRR(($D$4:D72,E73),))</f>
        <v>1.9023741573979066E-2</v>
      </c>
      <c r="N73" s="288">
        <f>IF(OR($H$3&lt;=0.0075,$H$3="",down_payment&lt;=0),"N/A",IRR(($D$4:D72,F73),))</f>
        <v>1.8491680649289001E-2</v>
      </c>
      <c r="O73" s="288">
        <f>IF(OR($H$3&lt;=0.0075,$H$3="",down_payment&lt;=0),"N/A",IRR(($D$4:D72,G73),))</f>
        <v>1.7974826321725004E-2</v>
      </c>
      <c r="P73" s="303">
        <f>IF(OR($H$3&lt;=0.0075,$H$3="",down_payment&lt;=0),"N/A",IRR(($D$4:D72,H73),))</f>
        <v>1.7472158486260471E-2</v>
      </c>
      <c r="Q73" s="288">
        <f>IF(OR($H$3&lt;=0.0075,$H$3="",down_payment&lt;=0),"N/A",IRR(($D$4:D72,I73),))</f>
        <v>1.69827514463835E-2</v>
      </c>
      <c r="R73" s="288">
        <f>IF(OR($H$3&lt;=0.0075,$H$3="",down_payment&lt;=0),"N/A",IRR(($D$4:D72,J73),))</f>
        <v>1.6505762533732236E-2</v>
      </c>
      <c r="S73" s="288">
        <f>IF(OR($H$3&lt;=0.0075,$H$3="",down_payment&lt;=0),"N/A",IRR(($D$4:D72,K73),))</f>
        <v>1.6040422385980097E-2</v>
      </c>
      <c r="T73" s="233"/>
      <c r="U73" s="304">
        <f t="shared" si="18"/>
        <v>0.253751973499037</v>
      </c>
      <c r="V73" s="304">
        <f t="shared" si="19"/>
        <v>0.24591906320580104</v>
      </c>
      <c r="W73" s="304">
        <f t="shared" si="20"/>
        <v>0.2383530002039691</v>
      </c>
      <c r="X73" s="305">
        <f t="shared" si="21"/>
        <v>0.23103503022325378</v>
      </c>
      <c r="Y73" s="304">
        <f t="shared" si="22"/>
        <v>0.22394822127399716</v>
      </c>
      <c r="Z73" s="304">
        <f t="shared" si="23"/>
        <v>0.21707723665487699</v>
      </c>
      <c r="AA73" s="304">
        <f t="shared" si="24"/>
        <v>0.21040814195477364</v>
      </c>
      <c r="AB73" s="103"/>
      <c r="AC73" s="149">
        <f>SUM(Model_Mthly!$Q73,-IF(AND(leveraged_property,B73&lt;=amort_period),-PMT(AC$3/12,amort_period,loan_amount),0))</f>
        <v>153204.53738699079</v>
      </c>
      <c r="AD73" s="149">
        <f>AD72+IF(AND(leveraged_property,$B73&lt;=amort_period),PPMT(AD$3/12,$B73,amort_period,loan_amount),0)</f>
        <v>8553809.5832007062</v>
      </c>
      <c r="AE73" s="149">
        <f ca="1">SUM(AC73,Model_Mthly!$AA73,-AD73)</f>
        <v>23377277.968442932</v>
      </c>
      <c r="AF73" s="149">
        <f>SUM(Model_Mthly!$Q73,-IF(AND(leveraged_property,B73&lt;=amort_period),-PMT(AF$3/12,amort_period,loan_amount),0))</f>
        <v>151762.9801686338</v>
      </c>
      <c r="AG73" s="149">
        <f>AG72+IF(AND(leveraged_property,$B73&lt;=amort_period),PPMT(AG$3/12,$B73,amort_period,loan_amount),0)</f>
        <v>8589668.0438270811</v>
      </c>
      <c r="AH73" s="149">
        <f ca="1">SUM(AF73,Model_Mthly!$AA73,-AG73)</f>
        <v>23339977.950598195</v>
      </c>
      <c r="AI73" s="149">
        <f>SUM(Model_Mthly!$Q73,-IF(AND(leveraged_property,B73&lt;=amort_period),-PMT(AI$3/12,amort_period,loan_amount),0))</f>
        <v>150301.68265130708</v>
      </c>
      <c r="AJ73" s="149">
        <f>AJ72+IF(AND(leveraged_property,$B73&lt;=amort_period),PPMT(AJ$3/12,$B73,amort_period,loan_amount),0)</f>
        <v>8624510.8134945128</v>
      </c>
      <c r="AK73" s="149">
        <f ca="1">SUM(AI73,Model_Mthly!$AA73,-AJ73)</f>
        <v>23303673.883413441</v>
      </c>
      <c r="AL73" s="229">
        <f>SUM(Model_Mthly!$Q73,-IF(AND(leveraged_property,B73&lt;=amort_period),-PMT(AL$3/12,amort_period,loan_amount),0))</f>
        <v>148821.07922682169</v>
      </c>
      <c r="AM73" s="229">
        <f>AM72+IF(AND(leveraged_property,$B73&lt;=amort_period),PPMT(AM$3/12,$B73,amort_period,loan_amount),0)</f>
        <v>8658346.041526543</v>
      </c>
      <c r="AN73" s="229">
        <f ca="1">SUM(AL73,Model_Mthly!$AA73,-AM73)</f>
        <v>23268358.051956922</v>
      </c>
      <c r="AO73" s="149">
        <f>SUM(Model_Mthly!$Q73,-IF(AND(leveraged_property,B73&lt;=amort_period),-PMT(AO$3/12,amort_period,loan_amount),0))</f>
        <v>147321.61299264949</v>
      </c>
      <c r="AP73" s="162">
        <f>AP72+IF(AND(leveraged_property,$B73&lt;=amort_period),PPMT(AP$3/12,$B73,amort_period,loan_amount),0)</f>
        <v>8691183.0796159245</v>
      </c>
      <c r="AQ73" s="149">
        <f ca="1">SUM(AO73,Model_Mthly!$AA73,-AP73)</f>
        <v>23234021.547633369</v>
      </c>
      <c r="AR73" s="149">
        <f>SUM(Model_Mthly!$Q73,-IF(AND(leveraged_property,B73&lt;=amort_period),-PMT(AR$3/12,amort_period,loan_amount),0))</f>
        <v>145803.73446527481</v>
      </c>
      <c r="AS73" s="162">
        <f>AS72+IF(AND(leveraged_property,$B73&lt;=amort_period),PPMT(AS$3/12,$B73,amort_period,loan_amount),0)</f>
        <v>8723032.4175766688</v>
      </c>
      <c r="AT73" s="149">
        <f ca="1">SUM(AR73,Model_Mthly!$AA73,-AS73)</f>
        <v>23200654.331145249</v>
      </c>
      <c r="AU73" s="149">
        <f>SUM(Model_Mthly!$Q73,-IF(AND(leveraged_property,B73&lt;=amort_period),-PMT(AU$3/12,amort_period,loan_amount),0))</f>
        <v>144267.90031427954</v>
      </c>
      <c r="AV73" s="162">
        <f>AV72+IF(AND(leveraged_property,$B73&lt;=amort_period),PPMT(AV$3/12,$B73,amort_period,loan_amount),0)</f>
        <v>8753905.6171759907</v>
      </c>
      <c r="AW73" s="149">
        <f ca="1">SUM(AU73,Model_Mthly!$AA73,-AV73)</f>
        <v>23168245.297394931</v>
      </c>
      <c r="AX73" s="103"/>
      <c r="AY73" s="288">
        <f ca="1">IF(AND(leveraged_property,down_payment&gt;0),IRR(($AC$4:AC72,AE73),),"N/A")</f>
        <v>1.7812767461110404E-2</v>
      </c>
      <c r="AZ73" s="288">
        <f ca="1">IF(AND(leveraged_property,down_payment&gt;0),IRR(($AF$4:AF72,AH73),),"N/A")</f>
        <v>1.7700075917758885E-2</v>
      </c>
      <c r="BA73" s="288">
        <f ca="1">IF(AND(leveraged_property,down_payment&gt;0),IRR(($AI$4:AI72,AK73),),"N/A")</f>
        <v>1.7586529173113732E-2</v>
      </c>
      <c r="BB73" s="303">
        <f ca="1">IF(AND(leveraged_property,down_payment&gt;0),IRR(($AL$4:AL72,AN73),),"N/A")</f>
        <v>1.7472158486260471E-2</v>
      </c>
      <c r="BC73" s="288">
        <f ca="1">IF(AND(leveraged_property,down_payment&gt;0),IRR(($AO$4:AO72,AQ73),),"N/A")</f>
        <v>1.7356995131095697E-2</v>
      </c>
      <c r="BD73" s="288">
        <f ca="1">IF(AND(leveraged_property,down_payment&gt;0),IRR(($AR$4:AR72,AT73),),"N/A")</f>
        <v>1.7241070322491652E-2</v>
      </c>
      <c r="BE73" s="288">
        <f ca="1">IF(AND(leveraged_property,down_payment&gt;0),IRR(($AU$4:AU72,AW73),),"N/A")</f>
        <v>1.7124415145466476E-2</v>
      </c>
      <c r="BF73" s="103"/>
      <c r="BG73" s="290">
        <f ca="1">IF(AND(leveraged_property,down_payment&gt;0),((1+AY73)^12)-1,"N/A")</f>
        <v>0.23598936079151867</v>
      </c>
      <c r="BH73" s="290">
        <f ca="1">IF(AND(leveraged_property,down_payment&gt;0),((1+AZ73)^12)-1,"N/A")</f>
        <v>0.2343481855313716</v>
      </c>
      <c r="BI73" s="290">
        <f ca="1">IF(AND(leveraged_property,down_payment&gt;0),((1+BA73)^12)-1,"N/A")</f>
        <v>0.23269657621405626</v>
      </c>
      <c r="BJ73" s="305">
        <f ca="1">IF(AND(leveraged_property,down_payment&gt;0),((1+BB73)^12)-1,"N/A")</f>
        <v>0.23103503022325378</v>
      </c>
      <c r="BK73" s="290">
        <f ca="1">IF(AND(leveraged_property,down_payment&gt;0),((1+BC73)^12)-1,"N/A")</f>
        <v>0.22936404314170677</v>
      </c>
      <c r="BL73" s="290">
        <f ca="1">IF(AND(leveraged_property,down_payment&gt;0),((1+BD73)^12)-1,"N/A")</f>
        <v>0.22768410764562064</v>
      </c>
      <c r="BM73" s="290">
        <f ca="1">IF(AND(leveraged_property,down_payment&gt;0),((1+BE73)^12)-1,"N/A")</f>
        <v>0.22599571245237571</v>
      </c>
    </row>
    <row r="74" spans="1:65">
      <c r="A74" s="137">
        <f>Model_Mthly!A74</f>
        <v>42292</v>
      </c>
      <c r="B74" s="138">
        <f>Model_Mthly!B74</f>
        <v>70</v>
      </c>
      <c r="C74" s="223"/>
      <c r="D74" s="139">
        <f>Model_Mthly!AQ74</f>
        <v>148821.07922682169</v>
      </c>
      <c r="E74" s="231">
        <f>IF(OR($H$3&lt;=0.0075,$H$3=""),0,SUM(Model_Mthly!AQ74,(SUM(Model_Mthly!Q75:Q86)/$E$3)*(1-cost_of_sale),-Model_Mthly!V74))</f>
        <v>27028559.364693191</v>
      </c>
      <c r="F74" s="231">
        <f>IF(OR($H$3&lt;=0.0075,$H$3=""),0,SUM(Model_Mthly!AQ74,(SUM(Model_Mthly!Q75:Q86)/$F$3)*(1-cost_of_sale),-Model_Mthly!V74))</f>
        <v>25844431.749430235</v>
      </c>
      <c r="G74" s="231">
        <f>IF(OR($H$3&lt;=0.0075,$H$3=""),0,SUM(Model_Mthly!AQ74,(SUM(Model_Mthly!Q75:Q86)/$G$3)*(1-cost_of_sale),-Model_Mthly!V74))</f>
        <v>24736699.464184243</v>
      </c>
      <c r="H74" s="232">
        <f>IF(OR($H$3&lt;=0.0075,$H$3=""),0,SUM(Model_Mthly!AQ74,(SUM(Model_Mthly!Q75:Q86)/$H$3)*(1-cost_of_sale),-Model_Mthly!V74))</f>
        <v>23698200.446766127</v>
      </c>
      <c r="I74" s="231">
        <f>IF(OR($H$3&lt;=0.0075,$H$3=""),0,SUM(Model_Mthly!AQ74,(SUM(Model_Mthly!Q75:Q86)/$I$3)*(1-cost_of_sale),-Model_Mthly!V74))</f>
        <v>22722640.763736993</v>
      </c>
      <c r="J74" s="231">
        <f>IF(OR($H$3&lt;=0.0075,$H$3=""),0,SUM(Model_Mthly!AQ74,(SUM(Model_Mthly!Q75:Q86)/$J$3)*(1-cost_of_sale),-Model_Mthly!V74))</f>
        <v>21804466.944415446</v>
      </c>
      <c r="K74" s="231">
        <f>IF(OR($H$3&lt;=0.0075,$H$3=""),0,SUM(Model_Mthly!AQ74,(SUM(Model_Mthly!Q75:Q86)/$K$3)*(1-cost_of_sale),-Model_Mthly!V74))</f>
        <v>20938760.200483706</v>
      </c>
      <c r="L74" s="160"/>
      <c r="M74" s="302">
        <f>IF(OR($H$3&lt;=0.0075,$H$3="",down_payment&lt;=0),"N/A",IRR(($D$4:D73,E74),))</f>
        <v>1.9075332211171001E-2</v>
      </c>
      <c r="N74" s="288">
        <f>IF(OR($H$3&lt;=0.0075,$H$3="",down_payment&lt;=0),"N/A",IRR(($D$4:D73,F74),))</f>
        <v>1.8554447625045309E-2</v>
      </c>
      <c r="O74" s="288">
        <f>IF(OR($H$3&lt;=0.0075,$H$3="",down_payment&lt;=0),"N/A",IRR(($D$4:D73,G74),))</f>
        <v>1.8048565205284927E-2</v>
      </c>
      <c r="P74" s="303">
        <f>IF(OR($H$3&lt;=0.0075,$H$3="",down_payment&lt;=0),"N/A",IRR(($D$4:D73,H74),))</f>
        <v>1.755668123771674E-2</v>
      </c>
      <c r="Q74" s="288">
        <f>IF(OR($H$3&lt;=0.0075,$H$3="",down_payment&lt;=0),"N/A",IRR(($D$4:D73,I74),))</f>
        <v>1.7077884983695397E-2</v>
      </c>
      <c r="R74" s="288">
        <f>IF(OR($H$3&lt;=0.0075,$H$3="",down_payment&lt;=0),"N/A",IRR(($D$4:D73,J74),))</f>
        <v>1.6611347475012087E-2</v>
      </c>
      <c r="S74" s="288">
        <f>IF(OR($H$3&lt;=0.0075,$H$3="",down_payment&lt;=0),"N/A",IRR(($D$4:D73,K74),))</f>
        <v>1.6156311941659198E-2</v>
      </c>
      <c r="T74" s="233"/>
      <c r="U74" s="304">
        <f t="shared" si="18"/>
        <v>0.25451387775320145</v>
      </c>
      <c r="V74" s="304">
        <f t="shared" si="19"/>
        <v>0.24684076833555624</v>
      </c>
      <c r="W74" s="304">
        <f t="shared" si="20"/>
        <v>0.23942985775474135</v>
      </c>
      <c r="X74" s="305">
        <f t="shared" si="21"/>
        <v>0.23226275546420228</v>
      </c>
      <c r="Y74" s="304">
        <f t="shared" si="22"/>
        <v>0.22532285756416792</v>
      </c>
      <c r="Z74" s="304">
        <f t="shared" si="23"/>
        <v>0.2185951243686084</v>
      </c>
      <c r="AA74" s="304">
        <f t="shared" si="24"/>
        <v>0.21206589127260966</v>
      </c>
      <c r="AB74" s="103"/>
      <c r="AC74" s="149">
        <f>SUM(Model_Mthly!$Q74,-IF(AND(leveraged_property,B74&lt;=amort_period),-PMT(AC$3/12,amort_period,loan_amount),0))</f>
        <v>153204.53738699079</v>
      </c>
      <c r="AD74" s="149">
        <f>AD73+IF(AND(leveraged_property,$B74&lt;=amort_period),PPMT(AD$3/12,$B74,amort_period,loan_amount),0)</f>
        <v>8538111.9158330802</v>
      </c>
      <c r="AE74" s="149">
        <f ca="1">SUM(AC74,Model_Mthly!$AA74,-AD74)</f>
        <v>23808562.161515459</v>
      </c>
      <c r="AF74" s="149">
        <f>SUM(Model_Mthly!$Q74,-IF(AND(leveraged_property,B74&lt;=amort_period),-PMT(AF$3/12,amort_period,loan_amount),0))</f>
        <v>151762.9801686338</v>
      </c>
      <c r="AG74" s="149">
        <f>AG73+IF(AND(leveraged_property,$B74&lt;=amort_period),PPMT(AG$3/12,$B74,amort_period,loan_amount),0)</f>
        <v>8574460.2731568739</v>
      </c>
      <c r="AH74" s="149">
        <f ca="1">SUM(AF74,Model_Mthly!$AA74,-AG74)</f>
        <v>23770772.246973306</v>
      </c>
      <c r="AI74" s="149">
        <f>SUM(Model_Mthly!$Q74,-IF(AND(leveraged_property,B74&lt;=amort_period),-PMT(AI$3/12,amort_period,loan_amount),0))</f>
        <v>150301.68265130708</v>
      </c>
      <c r="AJ74" s="149">
        <f>AJ73+IF(AND(leveraged_property,$B74&lt;=amort_period),PPMT(AJ$3/12,$B74,amort_period,loan_amount),0)</f>
        <v>8609783.6966000721</v>
      </c>
      <c r="AK74" s="149">
        <f ca="1">SUM(AI74,Model_Mthly!$AA74,-AJ74)</f>
        <v>23733987.526012782</v>
      </c>
      <c r="AL74" s="229">
        <f>SUM(Model_Mthly!$Q74,-IF(AND(leveraged_property,B74&lt;=amort_period),-PMT(AL$3/12,amort_period,loan_amount),0))</f>
        <v>148821.07922682169</v>
      </c>
      <c r="AM74" s="229">
        <f>AM73+IF(AND(leveraged_property,$B74&lt;=amort_period),PPMT(AM$3/12,$B74,amort_period,loan_amount),0)</f>
        <v>8644090.1724222414</v>
      </c>
      <c r="AN74" s="229">
        <f ca="1">SUM(AL74,Model_Mthly!$AA74,-AM74)</f>
        <v>23698200.446766127</v>
      </c>
      <c r="AO74" s="149">
        <f>SUM(Model_Mthly!$Q74,-IF(AND(leveraged_property,B74&lt;=amort_period),-PMT(AO$3/12,amort_period,loan_amount),0))</f>
        <v>147321.61299264949</v>
      </c>
      <c r="AP74" s="162">
        <f>AP73+IF(AND(leveraged_property,$B74&lt;=amort_period),PPMT(AP$3/12,$B74,amort_period,loan_amount),0)</f>
        <v>8677388.9105102792</v>
      </c>
      <c r="AQ74" s="149">
        <f ca="1">SUM(AO74,Model_Mthly!$AA74,-AP74)</f>
        <v>23663402.242443915</v>
      </c>
      <c r="AR74" s="149">
        <f>SUM(Model_Mthly!$Q74,-IF(AND(leveraged_property,B74&lt;=amort_period),-PMT(AR$3/12,amort_period,loan_amount),0))</f>
        <v>145803.73446527481</v>
      </c>
      <c r="AS74" s="162">
        <f>AS73+IF(AND(leveraged_property,$B74&lt;=amort_period),PPMT(AS$3/12,$B74,amort_period,loan_amount),0)</f>
        <v>8709690.2797750402</v>
      </c>
      <c r="AT74" s="149">
        <f ca="1">SUM(AR74,Model_Mthly!$AA74,-AS74)</f>
        <v>23629582.99465178</v>
      </c>
      <c r="AU74" s="149">
        <f>SUM(Model_Mthly!$Q74,-IF(AND(leveraged_property,B74&lt;=amort_period),-PMT(AU$3/12,amort_period,loan_amount),0))</f>
        <v>144267.90031427954</v>
      </c>
      <c r="AV74" s="162">
        <f>AV73+IF(AND(leveraged_property,$B74&lt;=amort_period),PPMT(AV$3/12,$B74,amort_period,loan_amount),0)</f>
        <v>8741005.7415582743</v>
      </c>
      <c r="AW74" s="149">
        <f ca="1">SUM(AU74,Model_Mthly!$AA74,-AV74)</f>
        <v>23596731.698717549</v>
      </c>
      <c r="AX74" s="103"/>
      <c r="AY74" s="288">
        <f ca="1">IF(AND(leveraged_property,down_payment&gt;0),IRR(($AC$4:AC73,AE74),),"N/A")</f>
        <v>1.7894316966552529E-2</v>
      </c>
      <c r="AZ74" s="288">
        <f ca="1">IF(AND(leveraged_property,down_payment&gt;0),IRR(($AF$4:AF73,AH74),),"N/A")</f>
        <v>1.7782616787863408E-2</v>
      </c>
      <c r="BA74" s="288">
        <f ca="1">IF(AND(leveraged_property,down_payment&gt;0),IRR(($AI$4:AI73,AK74),),"N/A")</f>
        <v>1.7670061126340522E-2</v>
      </c>
      <c r="BB74" s="303">
        <f ca="1">IF(AND(leveraged_property,down_payment&gt;0),IRR(($AL$4:AL73,AN74),),"N/A")</f>
        <v>1.755668123771674E-2</v>
      </c>
      <c r="BC74" s="288">
        <f ca="1">IF(AND(leveraged_property,down_payment&gt;0),IRR(($AO$4:AO73,AQ74),),"N/A")</f>
        <v>1.7442508398559122E-2</v>
      </c>
      <c r="BD74" s="288">
        <f ca="1">IF(AND(leveraged_property,down_payment&gt;0),IRR(($AR$4:AR73,AT74),),"N/A")</f>
        <v>1.732757383220522E-2</v>
      </c>
      <c r="BE74" s="288">
        <f ca="1">IF(AND(leveraged_property,down_payment&gt;0),IRR(($AU$4:AU73,AW74),),"N/A")</f>
        <v>1.7211908637688702E-2</v>
      </c>
      <c r="BF74" s="103"/>
      <c r="BG74" s="290">
        <f ca="1">IF(AND(leveraged_property,down_payment&gt;0),((1+AY74)^12)-1,"N/A")</f>
        <v>0.23717824841600166</v>
      </c>
      <c r="BH74" s="290">
        <f ca="1">IF(AND(leveraged_property,down_payment&gt;0),((1+AZ74)^12)-1,"N/A")</f>
        <v>0.23555006773245424</v>
      </c>
      <c r="BI74" s="290">
        <f ca="1">IF(AND(leveraged_property,down_payment&gt;0),((1+BA74)^12)-1,"N/A")</f>
        <v>0.23391140426213153</v>
      </c>
      <c r="BJ74" s="305">
        <f ca="1">IF(AND(leveraged_property,down_payment&gt;0),((1+BB74)^12)-1,"N/A")</f>
        <v>0.23226275546420228</v>
      </c>
      <c r="BK74" s="290">
        <f ca="1">IF(AND(leveraged_property,down_payment&gt;0),((1+BC74)^12)-1,"N/A")</f>
        <v>0.23060461710442537</v>
      </c>
      <c r="BL74" s="290">
        <f ca="1">IF(AND(leveraged_property,down_payment&gt;0),((1+BD74)^12)-1,"N/A")</f>
        <v>0.22893748214456155</v>
      </c>
      <c r="BM74" s="290">
        <f ca="1">IF(AND(leveraged_property,down_payment&gt;0),((1+BE74)^12)-1,"N/A")</f>
        <v>0.22726183968486535</v>
      </c>
    </row>
    <row r="75" spans="1:65">
      <c r="A75" s="137">
        <f>Model_Mthly!A75</f>
        <v>42323</v>
      </c>
      <c r="B75" s="138">
        <f>Model_Mthly!B75</f>
        <v>71</v>
      </c>
      <c r="C75" s="223"/>
      <c r="D75" s="139">
        <f>Model_Mthly!AQ75</f>
        <v>148821.07922682169</v>
      </c>
      <c r="E75" s="231">
        <f>IF(OR($H$3&lt;=0.0075,$H$3=""),0,SUM(Model_Mthly!AQ75,(SUM(Model_Mthly!Q76:Q87)/$E$3)*(1-cost_of_sale),-Model_Mthly!V75))</f>
        <v>27501458.808458138</v>
      </c>
      <c r="F75" s="231">
        <f>IF(OR($H$3&lt;=0.0075,$H$3=""),0,SUM(Model_Mthly!AQ75,(SUM(Model_Mthly!Q76:Q87)/$F$3)*(1-cost_of_sale),-Model_Mthly!V75))</f>
        <v>26302045.252019834</v>
      </c>
      <c r="G75" s="231">
        <f>IF(OR($H$3&lt;=0.0075,$H$3=""),0,SUM(Model_Mthly!AQ75,(SUM(Model_Mthly!Q76:Q87)/$G$3)*(1-cost_of_sale),-Model_Mthly!V75))</f>
        <v>25180013.215351742</v>
      </c>
      <c r="H75" s="232">
        <f>IF(OR($H$3&lt;=0.0075,$H$3=""),0,SUM(Model_Mthly!AQ75,(SUM(Model_Mthly!Q76:Q87)/$H$3)*(1-cost_of_sale),-Model_Mthly!V75))</f>
        <v>24128108.180975396</v>
      </c>
      <c r="I75" s="231">
        <f>IF(OR($H$3&lt;=0.0075,$H$3=""),0,SUM(Model_Mthly!AQ75,(SUM(Model_Mthly!Q76:Q87)/$I$3)*(1-cost_of_sale),-Model_Mthly!V75))</f>
        <v>23139954.966864295</v>
      </c>
      <c r="J75" s="231">
        <f>IF(OR($H$3&lt;=0.0075,$H$3=""),0,SUM(Model_Mthly!AQ75,(SUM(Model_Mthly!Q76:Q87)/$J$3)*(1-cost_of_sale),-Model_Mthly!V75))</f>
        <v>22209928.412406784</v>
      </c>
      <c r="K75" s="231">
        <f>IF(OR($H$3&lt;=0.0075,$H$3=""),0,SUM(Model_Mthly!AQ75,(SUM(Model_Mthly!Q76:Q87)/$K$3)*(1-cost_of_sale),-Model_Mthly!V75))</f>
        <v>21333046.232489701</v>
      </c>
      <c r="L75" s="160"/>
      <c r="M75" s="302">
        <f>IF(OR($H$3&lt;=0.0075,$H$3="",down_payment&lt;=0),"N/A",IRR(($D$4:D74,E75),))</f>
        <v>1.9120895983486218E-2</v>
      </c>
      <c r="N75" s="288">
        <f>IF(OR($H$3&lt;=0.0075,$H$3="",down_payment&lt;=0),"N/A",IRR(($D$4:D74,F75),))</f>
        <v>1.8610768729724961E-2</v>
      </c>
      <c r="O75" s="288">
        <f>IF(OR($H$3&lt;=0.0075,$H$3="",down_payment&lt;=0),"N/A",IRR(($D$4:D74,G75),))</f>
        <v>1.8115442690950018E-2</v>
      </c>
      <c r="P75" s="303">
        <f>IF(OR($H$3&lt;=0.0075,$H$3="",down_payment&lt;=0),"N/A",IRR(($D$4:D74,H75),))</f>
        <v>1.7633930007921548E-2</v>
      </c>
      <c r="Q75" s="288">
        <f>IF(OR($H$3&lt;=0.0075,$H$3="",down_payment&lt;=0),"N/A",IRR(($D$4:D74,I75),))</f>
        <v>1.7165334402799347E-2</v>
      </c>
      <c r="R75" s="288">
        <f>IF(OR($H$3&lt;=0.0075,$H$3="",down_payment&lt;=0),"N/A",IRR(($D$4:D74,J75),))</f>
        <v>1.6708840144164221E-2</v>
      </c>
      <c r="S75" s="288">
        <f>IF(OR($H$3&lt;=0.0075,$H$3="",down_payment&lt;=0),"N/A",IRR(($D$4:D74,K75),))</f>
        <v>1.6263702620231548E-2</v>
      </c>
      <c r="T75" s="233"/>
      <c r="U75" s="304">
        <f t="shared" si="18"/>
        <v>0.25518712858701176</v>
      </c>
      <c r="V75" s="304">
        <f t="shared" si="19"/>
        <v>0.24766835072095561</v>
      </c>
      <c r="W75" s="304">
        <f t="shared" si="20"/>
        <v>0.24040725601061541</v>
      </c>
      <c r="X75" s="305">
        <f t="shared" si="21"/>
        <v>0.23338580490190863</v>
      </c>
      <c r="Y75" s="304">
        <f t="shared" si="22"/>
        <v>0.22658771006893885</v>
      </c>
      <c r="Z75" s="304">
        <f t="shared" si="23"/>
        <v>0.21999821837823186</v>
      </c>
      <c r="AA75" s="304">
        <f t="shared" si="24"/>
        <v>0.21360392548451523</v>
      </c>
      <c r="AB75" s="103"/>
      <c r="AC75" s="149">
        <f>SUM(Model_Mthly!$Q75,-IF(AND(leveraged_property,B75&lt;=amort_period),-PMT(AC$3/12,amort_period,loan_amount),0))</f>
        <v>153204.53738699079</v>
      </c>
      <c r="AD75" s="149">
        <f>AD74+IF(AND(leveraged_property,$B75&lt;=amort_period),PPMT(AD$3/12,$B75,amort_period,loan_amount),0)</f>
        <v>8522352.1118654571</v>
      </c>
      <c r="AE75" s="149">
        <f ca="1">SUM(AC75,Model_Mthly!$AA75,-AD75)</f>
        <v>24239908.491187986</v>
      </c>
      <c r="AF75" s="149">
        <f>SUM(Model_Mthly!$Q75,-IF(AND(leveraged_property,B75&lt;=amort_period),-PMT(AF$3/12,amort_period,loan_amount),0))</f>
        <v>151762.9801686338</v>
      </c>
      <c r="AG75" s="149">
        <f>AG74+IF(AND(leveraged_property,$B75&lt;=amort_period),PPMT(AG$3/12,$B75,amort_period,loan_amount),0)</f>
        <v>8559189.1367755402</v>
      </c>
      <c r="AH75" s="149">
        <f ca="1">SUM(AF75,Model_Mthly!$AA75,-AG75)</f>
        <v>24201629.909059547</v>
      </c>
      <c r="AI75" s="149">
        <f>SUM(Model_Mthly!$Q75,-IF(AND(leveraged_property,B75&lt;=amort_period),-PMT(AI$3/12,amort_period,loan_amount),0))</f>
        <v>150301.68265130708</v>
      </c>
      <c r="AJ75" s="149">
        <f>AJ74+IF(AND(leveraged_property,$B75&lt;=amort_period),PPMT(AJ$3/12,$B75,amort_period,loan_amount),0)</f>
        <v>8594992.148569217</v>
      </c>
      <c r="AK75" s="149">
        <f ca="1">SUM(AI75,Model_Mthly!$AA75,-AJ75)</f>
        <v>24164365.599748544</v>
      </c>
      <c r="AL75" s="229">
        <f>SUM(Model_Mthly!$Q75,-IF(AND(leveraged_property,B75&lt;=amort_period),-PMT(AL$3/12,amort_period,loan_amount),0))</f>
        <v>148821.07922682169</v>
      </c>
      <c r="AM75" s="229">
        <f>AM74+IF(AND(leveraged_property,$B75&lt;=amort_period),PPMT(AM$3/12,$B75,amort_period,loan_amount),0)</f>
        <v>8629768.9639178775</v>
      </c>
      <c r="AN75" s="229">
        <f ca="1">SUM(AL75,Model_Mthly!$AA75,-AM75)</f>
        <v>24128108.180975396</v>
      </c>
      <c r="AO75" s="149">
        <f>SUM(Model_Mthly!$Q75,-IF(AND(leveraged_property,B75&lt;=amort_period),-PMT(AO$3/12,amort_period,loan_amount),0))</f>
        <v>147321.61299264949</v>
      </c>
      <c r="AP75" s="162">
        <f>AP74+IF(AND(leveraged_property,$B75&lt;=amort_period),PPMT(AP$3/12,$B75,amort_period,loan_amount),0)</f>
        <v>8663528.6443443373</v>
      </c>
      <c r="AQ75" s="149">
        <f ca="1">SUM(AO75,Model_Mthly!$AA75,-AP75)</f>
        <v>24092849.034314763</v>
      </c>
      <c r="AR75" s="149">
        <f>SUM(Model_Mthly!$Q75,-IF(AND(leveraged_property,B75&lt;=amort_period),-PMT(AR$3/12,amort_period,loan_amount),0))</f>
        <v>145803.73446527481</v>
      </c>
      <c r="AS75" s="162">
        <f>AS74+IF(AND(leveraged_property,$B75&lt;=amort_period),PPMT(AS$3/12,$B75,amort_period,loan_amount),0)</f>
        <v>8696281.4312844034</v>
      </c>
      <c r="AT75" s="149">
        <f ca="1">SUM(AR75,Model_Mthly!$AA75,-AS75)</f>
        <v>24058578.368847325</v>
      </c>
      <c r="AU75" s="149">
        <f>SUM(Model_Mthly!$Q75,-IF(AND(leveraged_property,B75&lt;=amort_period),-PMT(AU$3/12,amort_period,loan_amount),0))</f>
        <v>144267.90031427954</v>
      </c>
      <c r="AV75" s="162">
        <f>AV74+IF(AND(leveraged_property,$B75&lt;=amort_period),PPMT(AV$3/12,$B75,amort_period,loan_amount),0)</f>
        <v>8728038.6790883821</v>
      </c>
      <c r="AW75" s="149">
        <f ca="1">SUM(AU75,Model_Mthly!$AA75,-AV75)</f>
        <v>24025285.286892347</v>
      </c>
      <c r="AX75" s="103"/>
      <c r="AY75" s="288">
        <f ca="1">IF(AND(leveraged_property,down_payment&gt;0),IRR(($AC$4:AC74,AE75),),"N/A")</f>
        <v>1.7968695900319118E-2</v>
      </c>
      <c r="AZ75" s="288">
        <f ca="1">IF(AND(leveraged_property,down_payment&gt;0),IRR(($AF$4:AF74,AH75),),"N/A")</f>
        <v>1.7857952549039355E-2</v>
      </c>
      <c r="BA75" s="288">
        <f ca="1">IF(AND(leveraged_property,down_payment&gt;0),IRR(($AI$4:AI74,AK75),),"N/A")</f>
        <v>1.7746353500704148E-2</v>
      </c>
      <c r="BB75" s="303">
        <f ca="1">IF(AND(leveraged_property,down_payment&gt;0),IRR(($AL$4:AL74,AN75),),"N/A")</f>
        <v>1.7633930007921548E-2</v>
      </c>
      <c r="BC75" s="288">
        <f ca="1">IF(AND(leveraged_property,down_payment&gt;0),IRR(($AO$4:AO74,AQ75),),"N/A")</f>
        <v>1.7520713349937198E-2</v>
      </c>
      <c r="BD75" s="288">
        <f ca="1">IF(AND(leveraged_property,down_payment&gt;0),IRR(($AR$4:AR74,AT75),),"N/A")</f>
        <v>1.7406734758350716E-2</v>
      </c>
      <c r="BE75" s="288">
        <f ca="1">IF(AND(leveraged_property,down_payment&gt;0),IRR(($AU$4:AU74,AW75),),"N/A")</f>
        <v>1.7292025345805276E-2</v>
      </c>
      <c r="BF75" s="103"/>
      <c r="BG75" s="290">
        <f ca="1">IF(AND(leveraged_property,down_payment&gt;0),((1+AY75)^12)-1,"N/A")</f>
        <v>0.23826351224297393</v>
      </c>
      <c r="BH75" s="290">
        <f ca="1">IF(AND(leveraged_property,down_payment&gt;0),((1+AZ75)^12)-1,"N/A")</f>
        <v>0.23664797221577283</v>
      </c>
      <c r="BI75" s="290">
        <f ca="1">IF(AND(leveraged_property,down_payment&gt;0),((1+BA75)^12)-1,"N/A")</f>
        <v>0.23502190393341094</v>
      </c>
      <c r="BJ75" s="305">
        <f ca="1">IF(AND(leveraged_property,down_payment&gt;0),((1+BB75)^12)-1,"N/A")</f>
        <v>0.23338580490190863</v>
      </c>
      <c r="BK75" s="290">
        <f ca="1">IF(AND(leveraged_property,down_payment&gt;0),((1+BC75)^12)-1,"N/A")</f>
        <v>0.23174017103769184</v>
      </c>
      <c r="BL75" s="290">
        <f ca="1">IF(AND(leveraged_property,down_payment&gt;0),((1+BD75)^12)-1,"N/A")</f>
        <v>0.2300854955522762</v>
      </c>
      <c r="BM75" s="290">
        <f ca="1">IF(AND(leveraged_property,down_payment&gt;0),((1+BE75)^12)-1,"N/A")</f>
        <v>0.22842226788976183</v>
      </c>
    </row>
    <row r="76" spans="1:65">
      <c r="A76" s="137">
        <f>Model_Mthly!A76</f>
        <v>42353</v>
      </c>
      <c r="B76" s="138">
        <f>Model_Mthly!B76</f>
        <v>72</v>
      </c>
      <c r="C76" s="223"/>
      <c r="D76" s="183">
        <f>Model_Mthly!AQ76</f>
        <v>148821.07922682169</v>
      </c>
      <c r="E76" s="202">
        <f>IF(OR($H$3&lt;=0.0075,$H$3=""),0,SUM(Model_Mthly!AQ76,(SUM(Model_Mthly!Q77:Q88)/$E$3)*(1-cost_of_sale),-Model_Mthly!V76))</f>
        <v>27974423.891095396</v>
      </c>
      <c r="F76" s="202">
        <f>IF(OR($H$3&lt;=0.0075,$H$3=""),0,SUM(Model_Mthly!AQ76,(SUM(Model_Mthly!Q77:Q88)/$F$3)*(1-cost_of_sale),-Model_Mthly!V76))</f>
        <v>26759724.393481743</v>
      </c>
      <c r="G76" s="202">
        <f>IF(OR($H$3&lt;=0.0075,$H$3=""),0,SUM(Model_Mthly!AQ76,(SUM(Model_Mthly!Q77:Q88)/$G$3)*(1-cost_of_sale),-Model_Mthly!V76))</f>
        <v>25623392.605391543</v>
      </c>
      <c r="H76" s="202">
        <f>IF(OR($H$3&lt;=0.0075,$H$3=""),0,SUM(Model_Mthly!AQ76,(SUM(Model_Mthly!Q77:Q88)/$H$3)*(1-cost_of_sale),-Model_Mthly!V76))</f>
        <v>24558081.55405698</v>
      </c>
      <c r="I76" s="202">
        <f>IF(OR($H$3&lt;=0.0075,$H$3=""),0,SUM(Model_Mthly!AQ76,(SUM(Model_Mthly!Q77:Q88)/$I$3)*(1-cost_of_sale),-Model_Mthly!V76))</f>
        <v>23557334.808863908</v>
      </c>
      <c r="J76" s="202">
        <f>IF(OR($H$3&lt;=0.0075,$H$3=""),0,SUM(Model_Mthly!AQ76,(SUM(Model_Mthly!Q77:Q88)/$J$3)*(1-cost_of_sale),-Model_Mthly!V76))</f>
        <v>22615455.519270428</v>
      </c>
      <c r="K76" s="202">
        <f>IF(OR($H$3&lt;=0.0075,$H$3=""),0,SUM(Model_Mthly!AQ76,(SUM(Model_Mthly!Q77:Q88)/$K$3)*(1-cost_of_sale),-Model_Mthly!V76))</f>
        <v>21727397.903368004</v>
      </c>
      <c r="L76" s="160"/>
      <c r="M76" s="289">
        <f>IF(OR($H$3&lt;=0.0075,$H$3="",down_payment&lt;=0),"N/A",IRR(($D$4:D75,E76),))</f>
        <v>1.9160843479661238E-2</v>
      </c>
      <c r="N76" s="289">
        <f>IF(OR($H$3&lt;=0.0075,$H$3="",down_payment&lt;=0),"N/A",IRR(($D$4:D75,F76),))</f>
        <v>1.8661077441563714E-2</v>
      </c>
      <c r="O76" s="289">
        <f>IF(OR($H$3&lt;=0.0075,$H$3="",down_payment&lt;=0),"N/A",IRR(($D$4:D75,G76),))</f>
        <v>1.8175915190127793E-2</v>
      </c>
      <c r="P76" s="289">
        <f>IF(OR($H$3&lt;=0.0075,$H$3="",down_payment&lt;=0),"N/A",IRR(($D$4:D75,H76),))</f>
        <v>1.7704384214923558E-2</v>
      </c>
      <c r="Q76" s="289">
        <f>IF(OR($H$3&lt;=0.0075,$H$3="",down_payment&lt;=0),"N/A",IRR(($D$4:D75,I76),))</f>
        <v>1.7245602230327606E-2</v>
      </c>
      <c r="R76" s="289">
        <f>IF(OR($H$3&lt;=0.0075,$H$3="",down_payment&lt;=0),"N/A",IRR(($D$4:D75,J76),))</f>
        <v>1.6798766305734274E-2</v>
      </c>
      <c r="S76" s="289">
        <f>IF(OR($H$3&lt;=0.0075,$H$3="",down_payment&lt;=0),"N/A",IRR(($D$4:D75,K76),))</f>
        <v>1.6363143579991992E-2</v>
      </c>
      <c r="T76" s="233"/>
      <c r="U76" s="291">
        <f t="shared" si="18"/>
        <v>0.25577766572074068</v>
      </c>
      <c r="V76" s="291">
        <f t="shared" si="19"/>
        <v>0.24840801273365543</v>
      </c>
      <c r="W76" s="291">
        <f t="shared" si="20"/>
        <v>0.24129165516190065</v>
      </c>
      <c r="X76" s="291">
        <f t="shared" si="21"/>
        <v>0.23441089236694235</v>
      </c>
      <c r="Y76" s="291">
        <f t="shared" si="22"/>
        <v>0.22774974267810988</v>
      </c>
      <c r="Z76" s="291">
        <f t="shared" si="23"/>
        <v>0.22129372960027727</v>
      </c>
      <c r="AA76" s="291">
        <f t="shared" si="24"/>
        <v>0.21502970000790977</v>
      </c>
      <c r="AB76" s="103"/>
      <c r="AC76" s="186">
        <f>SUM(Model_Mthly!$Q76,-IF(AND(leveraged_property,B76&lt;=amort_period),-PMT(AC$3/12,amort_period,loan_amount),0))</f>
        <v>153204.53738699079</v>
      </c>
      <c r="AD76" s="186">
        <f>AD75+IF(AND(leveraged_property,$B76&lt;=amort_period),PPMT(AD$3/12,$B76,amort_period,loan_amount),0)</f>
        <v>8506529.9253404625</v>
      </c>
      <c r="AE76" s="186">
        <f ca="1">SUM(AC76,Model_Mthly!$AA76,-AD76)</f>
        <v>24671317.20341789</v>
      </c>
      <c r="AF76" s="186">
        <f>SUM(Model_Mthly!$Q76,-IF(AND(leveraged_property,B76&lt;=amort_period),-PMT(AF$3/12,amort_period,loan_amount),0))</f>
        <v>151762.9801686338</v>
      </c>
      <c r="AG76" s="186">
        <f>AG75+IF(AND(leveraged_property,$B76&lt;=amort_period),PPMT(AG$3/12,$B76,amort_period,loan_amount),0)</f>
        <v>8543854.3706592843</v>
      </c>
      <c r="AH76" s="186">
        <f ca="1">SUM(AF76,Model_Mthly!$AA76,-AG76)</f>
        <v>24632551.20088071</v>
      </c>
      <c r="AI76" s="186">
        <f>SUM(Model_Mthly!$Q76,-IF(AND(leveraged_property,B76&lt;=amort_period),-PMT(AI$3/12,amort_period,loan_amount),0))</f>
        <v>150301.68265130708</v>
      </c>
      <c r="AJ76" s="186">
        <f>AJ75+IF(AND(leveraged_property,$B76&lt;=amort_period),PPMT(AJ$3/12,$B76,amort_period,loan_amount),0)</f>
        <v>8580135.8875157274</v>
      </c>
      <c r="AK76" s="186">
        <f ca="1">SUM(AI76,Model_Mthly!$AA76,-AJ76)</f>
        <v>24594808.386506941</v>
      </c>
      <c r="AL76" s="186">
        <f>SUM(Model_Mthly!$Q76,-IF(AND(leveraged_property,B76&lt;=amort_period),-PMT(AL$3/12,amort_period,loan_amount),0))</f>
        <v>148821.07922682169</v>
      </c>
      <c r="AM76" s="186">
        <f>AM75+IF(AND(leveraged_property,$B76&lt;=amort_period),PPMT(AM$3/12,$B76,amort_period,loan_amount),0)</f>
        <v>8615382.1165412031</v>
      </c>
      <c r="AN76" s="186">
        <f ca="1">SUM(AL76,Model_Mthly!$AA76,-AM76)</f>
        <v>24558081.55405698</v>
      </c>
      <c r="AO76" s="186">
        <f>SUM(Model_Mthly!$Q76,-IF(AND(leveraged_property,B76&lt;=amort_period),-PMT(AO$3/12,amort_period,loan_amount),0))</f>
        <v>147321.61299264949</v>
      </c>
      <c r="AP76" s="186">
        <f>AP75+IF(AND(leveraged_property,$B76&lt;=amort_period),PPMT(AP$3/12,$B76,amort_period,loan_amount),0)</f>
        <v>8649601.9644030165</v>
      </c>
      <c r="AQ76" s="186">
        <f ca="1">SUM(AO76,Model_Mthly!$AA76,-AP76)</f>
        <v>24522362.239960991</v>
      </c>
      <c r="AR76" s="186">
        <f>SUM(Model_Mthly!$Q76,-IF(AND(leveraged_property,B76&lt;=amort_period),-PMT(AR$3/12,amort_period,loan_amount),0))</f>
        <v>145803.73446527481</v>
      </c>
      <c r="AS76" s="186">
        <f>AS75+IF(AND(leveraged_property,$B76&lt;=amort_period),PPMT(AS$3/12,$B76,amort_period,loan_amount),0)</f>
        <v>8682805.5385513138</v>
      </c>
      <c r="AT76" s="186">
        <f ca="1">SUM(AR76,Model_Mthly!$AA76,-AS76)</f>
        <v>24487640.78728532</v>
      </c>
      <c r="AU76" s="186">
        <f>SUM(Model_Mthly!$Q76,-IF(AND(leveraged_property,B76&lt;=amort_period),-PMT(AU$3/12,amort_period,loan_amount),0))</f>
        <v>144267.90031427954</v>
      </c>
      <c r="AV76" s="186">
        <f>AV75+IF(AND(leveraged_property,$B76&lt;=amort_period),PPMT(AV$3/12,$B76,amort_period,loan_amount),0)</f>
        <v>8715004.0798347928</v>
      </c>
      <c r="AW76" s="186">
        <f ca="1">SUM(AU76,Model_Mthly!$AA76,-AV76)</f>
        <v>24453906.411850847</v>
      </c>
      <c r="AX76" s="103"/>
      <c r="AY76" s="289">
        <f ca="1">IF(AND(leveraged_property,down_payment&gt;0),IRR(($AC$4:AC75,AE76),),"N/A")</f>
        <v>1.80363784459758E-2</v>
      </c>
      <c r="AZ76" s="289">
        <f ca="1">IF(AND(leveraged_property,down_payment&gt;0),IRR(($AF$4:AF75,AH76),),"N/A")</f>
        <v>1.7926559133676013E-2</v>
      </c>
      <c r="BA76" s="289">
        <f ca="1">IF(AND(leveraged_property,down_payment&gt;0),IRR(($AI$4:AI75,AK76),),"N/A")</f>
        <v>1.7815883973418975E-2</v>
      </c>
      <c r="BB76" s="289">
        <f ca="1">IF(AND(leveraged_property,down_payment&gt;0),IRR(($AL$4:AL75,AN76),),"N/A")</f>
        <v>1.7704384214923558E-2</v>
      </c>
      <c r="BC76" s="289">
        <f ca="1">IF(AND(leveraged_property,down_payment&gt;0),IRR(($AO$4:AO75,AQ76),),"N/A")</f>
        <v>1.7592091140142166E-2</v>
      </c>
      <c r="BD76" s="289">
        <f ca="1">IF(AND(leveraged_property,down_payment&gt;0),IRR(($AR$4:AR75,AT76),),"N/A")</f>
        <v>1.747903598876498E-2</v>
      </c>
      <c r="BE76" s="289">
        <f ca="1">IF(AND(leveraged_property,down_payment&gt;0),IRR(($AU$4:AU75,AW76),),"N/A")</f>
        <v>1.736524988667984E-2</v>
      </c>
      <c r="BF76" s="103"/>
      <c r="BG76" s="291">
        <f ca="1">IF(AND(leveraged_property,down_payment&gt;0),((1+AY76)^12)-1,"N/A")</f>
        <v>0.23925182728223748</v>
      </c>
      <c r="BH76" s="291">
        <f ca="1">IF(AND(leveraged_property,down_payment&gt;0),((1+AZ76)^12)-1,"N/A")</f>
        <v>0.23764858712064107</v>
      </c>
      <c r="BI76" s="291">
        <f ca="1">IF(AND(leveraged_property,down_payment&gt;0),((1+BA76)^12)-1,"N/A")</f>
        <v>0.23603477630663838</v>
      </c>
      <c r="BJ76" s="291">
        <f ca="1">IF(AND(leveraged_property,down_payment&gt;0),((1+BB76)^12)-1,"N/A")</f>
        <v>0.23441089236694235</v>
      </c>
      <c r="BK76" s="291">
        <f ca="1">IF(AND(leveraged_property,down_payment&gt;0),((1+BC76)^12)-1,"N/A")</f>
        <v>0.23277743133899476</v>
      </c>
      <c r="BL76" s="291">
        <f ca="1">IF(AND(leveraged_property,down_payment&gt;0),((1+BD76)^12)-1,"N/A")</f>
        <v>0.23113488665110227</v>
      </c>
      <c r="BM76" s="291">
        <f ca="1">IF(AND(leveraged_property,down_payment&gt;0),((1+BE76)^12)-1,"N/A")</f>
        <v>0.2294837480551537</v>
      </c>
    </row>
    <row r="77" spans="1:65">
      <c r="A77" s="137">
        <f>Model_Mthly!A77</f>
        <v>42384</v>
      </c>
      <c r="B77" s="138">
        <f>Model_Mthly!B77</f>
        <v>73</v>
      </c>
      <c r="C77" s="223"/>
      <c r="D77" s="139">
        <f>Model_Mthly!AQ77</f>
        <v>183470.45084389448</v>
      </c>
      <c r="E77" s="231">
        <f>IF(OR($H$3&lt;=0.0075,$H$3=""),0,SUM(Model_Mthly!AQ77,(SUM(Model_Mthly!Q78:Q89)/$E$3)*(1-cost_of_sale),-Model_Mthly!V77))</f>
        <v>28023087.668439154</v>
      </c>
      <c r="F77" s="231">
        <f>IF(OR($H$3&lt;=0.0075,$H$3=""),0,SUM(Model_Mthly!AQ77,(SUM(Model_Mthly!Q78:Q89)/$F$3)*(1-cost_of_sale),-Model_Mthly!V77))</f>
        <v>26808402.783537727</v>
      </c>
      <c r="G77" s="231">
        <f>IF(OR($H$3&lt;=0.0075,$H$3=""),0,SUM(Model_Mthly!AQ77,(SUM(Model_Mthly!Q78:Q89)/$G$3)*(1-cost_of_sale),-Model_Mthly!V77))</f>
        <v>25672084.665404145</v>
      </c>
      <c r="H77" s="232">
        <f>IF(OR($H$3&lt;=0.0075,$H$3=""),0,SUM(Model_Mthly!AQ77,(SUM(Model_Mthly!Q78:Q89)/$H$3)*(1-cost_of_sale),-Model_Mthly!V77))</f>
        <v>24606786.429653902</v>
      </c>
      <c r="I77" s="231">
        <f>IF(OR($H$3&lt;=0.0075,$H$3=""),0,SUM(Model_Mthly!AQ77,(SUM(Model_Mthly!Q78:Q89)/$I$3)*(1-cost_of_sale),-Model_Mthly!V77))</f>
        <v>23606051.723343071</v>
      </c>
      <c r="J77" s="231">
        <f>IF(OR($H$3&lt;=0.0075,$H$3=""),0,SUM(Model_Mthly!AQ77,(SUM(Model_Mthly!Q78:Q89)/$J$3)*(1-cost_of_sale),-Model_Mthly!V77))</f>
        <v>22664183.764462288</v>
      </c>
      <c r="K77" s="231">
        <f>IF(OR($H$3&lt;=0.0075,$H$3=""),0,SUM(Model_Mthly!AQ77,(SUM(Model_Mthly!Q78:Q89)/$K$3)*(1-cost_of_sale),-Model_Mthly!V77))</f>
        <v>21776136.831803266</v>
      </c>
      <c r="L77" s="160"/>
      <c r="M77" s="302">
        <f>IF(OR($H$3&lt;=0.0075,$H$3="",down_payment&lt;=0),"N/A",IRR(($D$4:D76,E77),))</f>
        <v>1.9028629969169732E-2</v>
      </c>
      <c r="N77" s="288">
        <f>IF(OR($H$3&lt;=0.0075,$H$3="",down_payment&lt;=0),"N/A",IRR(($D$4:D76,F77),))</f>
        <v>1.8538744142853107E-2</v>
      </c>
      <c r="O77" s="288">
        <f>IF(OR($H$3&lt;=0.0075,$H$3="",down_payment&lt;=0),"N/A",IRR(($D$4:D76,G77),))</f>
        <v>1.8063255894569492E-2</v>
      </c>
      <c r="P77" s="303">
        <f>IF(OR($H$3&lt;=0.0075,$H$3="",down_payment&lt;=0),"N/A",IRR(($D$4:D76,H77),))</f>
        <v>1.7601207911107239E-2</v>
      </c>
      <c r="Q77" s="288">
        <f>IF(OR($H$3&lt;=0.0075,$H$3="",down_payment&lt;=0),"N/A",IRR(($D$4:D76,I77),))</f>
        <v>1.7151731745250511E-2</v>
      </c>
      <c r="R77" s="288">
        <f>IF(OR($H$3&lt;=0.0075,$H$3="",down_payment&lt;=0),"N/A",IRR(($D$4:D76,J77),))</f>
        <v>1.6714037110465502E-2</v>
      </c>
      <c r="S77" s="288">
        <f>IF(OR($H$3&lt;=0.0075,$H$3="",down_payment&lt;=0),"N/A",IRR(($D$4:D76,K77),))</f>
        <v>1.628740273594359E-2</v>
      </c>
      <c r="T77" s="233"/>
      <c r="U77" s="304">
        <f t="shared" si="18"/>
        <v>0.25382414842381729</v>
      </c>
      <c r="V77" s="304">
        <f t="shared" si="19"/>
        <v>0.2466101110743415</v>
      </c>
      <c r="W77" s="304">
        <f t="shared" si="20"/>
        <v>0.23964449809388566</v>
      </c>
      <c r="X77" s="305">
        <f t="shared" si="21"/>
        <v>0.23290997368177035</v>
      </c>
      <c r="Y77" s="304">
        <f t="shared" si="22"/>
        <v>0.22639088512976602</v>
      </c>
      <c r="Z77" s="304">
        <f t="shared" si="23"/>
        <v>0.22007305358331042</v>
      </c>
      <c r="AA77" s="304">
        <f t="shared" si="24"/>
        <v>0.21394359609826075</v>
      </c>
      <c r="AB77" s="103"/>
      <c r="AC77" s="149">
        <f>SUM(Model_Mthly!$Q77,-IF(AND(leveraged_property,B77&lt;=amort_period),-PMT(AC$3/12,amort_period,loan_amount),0))</f>
        <v>187853.90900406358</v>
      </c>
      <c r="AD77" s="149">
        <f>AD76+IF(AND(leveraged_property,$B77&lt;=amort_period),PPMT(AD$3/12,$B77,amort_period,loan_amount),0)</f>
        <v>8490645.1093271393</v>
      </c>
      <c r="AE77" s="149">
        <f ca="1">SUM(AC77,Model_Mthly!$AA77,-AD77)</f>
        <v>24721454.107934318</v>
      </c>
      <c r="AF77" s="149">
        <f>SUM(Model_Mthly!$Q77,-IF(AND(leveraged_property,B77&lt;=amort_period),-PMT(AF$3/12,amort_period,loan_amount),0))</f>
        <v>186412.35178570659</v>
      </c>
      <c r="AG77" s="149">
        <f>AG76+IF(AND(leveraged_property,$B77&lt;=amort_period),PPMT(AG$3/12,$B77,amort_period,loan_amount),0)</f>
        <v>8528455.7096842118</v>
      </c>
      <c r="AH77" s="149">
        <f ca="1">SUM(AF77,Model_Mthly!$AA77,-AG77)</f>
        <v>24682201.95035889</v>
      </c>
      <c r="AI77" s="149">
        <f>SUM(Model_Mthly!$Q77,-IF(AND(leveraged_property,B77&lt;=amort_period),-PMT(AI$3/12,amort_period,loan_amount),0))</f>
        <v>184951.05426837987</v>
      </c>
      <c r="AJ77" s="149">
        <f>AJ76+IF(AND(leveraged_property,$B77&lt;=amort_period),PPMT(AJ$3/12,$B77,amort_period,loan_amount),0)</f>
        <v>8565214.6303201281</v>
      </c>
      <c r="AK77" s="149">
        <f ca="1">SUM(AI77,Model_Mthly!$AA77,-AJ77)</f>
        <v>24643981.732205644</v>
      </c>
      <c r="AL77" s="229">
        <f>SUM(Model_Mthly!$Q77,-IF(AND(leveraged_property,B77&lt;=amort_period),-PMT(AL$3/12,amort_period,loan_amount),0))</f>
        <v>183470.45084389448</v>
      </c>
      <c r="AM77" s="229">
        <f>AM76+IF(AND(leveraged_property,$B77&lt;=amort_period),PPMT(AM$3/12,$B77,amort_period,loan_amount),0)</f>
        <v>8600929.3294473849</v>
      </c>
      <c r="AN77" s="229">
        <f ca="1">SUM(AL77,Model_Mthly!$AA77,-AM77)</f>
        <v>24606786.429653902</v>
      </c>
      <c r="AO77" s="149">
        <f>SUM(Model_Mthly!$Q77,-IF(AND(leveraged_property,B77&lt;=amort_period),-PMT(AO$3/12,amort_period,loan_amount),0))</f>
        <v>181970.98460972228</v>
      </c>
      <c r="AP77" s="162">
        <f>AP76+IF(AND(leveraged_property,$B77&lt;=amort_period),PPMT(AP$3/12,$B77,amort_period,loan_amount),0)</f>
        <v>8635608.5524536427</v>
      </c>
      <c r="AQ77" s="149">
        <f ca="1">SUM(AO77,Model_Mthly!$AA77,-AP77)</f>
        <v>24570607.740413472</v>
      </c>
      <c r="AR77" s="149">
        <f>SUM(Model_Mthly!$Q77,-IF(AND(leveraged_property,B77&lt;=amort_period),-PMT(AR$3/12,amort_period,loan_amount),0))</f>
        <v>180453.1060823476</v>
      </c>
      <c r="AS77" s="162">
        <f>AS76+IF(AND(leveraged_property,$B77&lt;=amort_period),PPMT(AS$3/12,$B77,amort_period,loan_amount),0)</f>
        <v>8669262.266354559</v>
      </c>
      <c r="AT77" s="149">
        <f ca="1">SUM(AR77,Model_Mthly!$AA77,-AS77)</f>
        <v>24535436.147985183</v>
      </c>
      <c r="AU77" s="149">
        <f>SUM(Model_Mthly!$Q77,-IF(AND(leveraged_property,B77&lt;=amort_period),-PMT(AU$3/12,amort_period,loan_amount),0))</f>
        <v>178917.27193135233</v>
      </c>
      <c r="AV77" s="162">
        <f>AV76+IF(AND(leveraged_property,$B77&lt;=amort_period),PPMT(AV$3/12,$B77,amort_period,loan_amount),0)</f>
        <v>8701901.5920434259</v>
      </c>
      <c r="AW77" s="149">
        <f ca="1">SUM(AU77,Model_Mthly!$AA77,-AV77)</f>
        <v>24501260.988145322</v>
      </c>
      <c r="AX77" s="103"/>
      <c r="AY77" s="288">
        <f ca="1">IF(AND(leveraged_property,down_payment&gt;0),IRR(($AC$4:AC76,AE77),),"N/A")</f>
        <v>1.7932724493476253E-2</v>
      </c>
      <c r="AZ77" s="288">
        <f ca="1">IF(AND(leveraged_property,down_payment&gt;0),IRR(($AF$4:AF76,AH77),),"N/A")</f>
        <v>1.7823069091576726E-2</v>
      </c>
      <c r="BA77" s="288">
        <f ca="1">IF(AND(leveraged_property,down_payment&gt;0),IRR(($AI$4:AI76,AK77),),"N/A")</f>
        <v>1.7712553093280993E-2</v>
      </c>
      <c r="BB77" s="303">
        <f ca="1">IF(AND(leveraged_property,down_payment&gt;0),IRR(($AL$4:AL76,AN77),),"N/A")</f>
        <v>1.7601207911107239E-2</v>
      </c>
      <c r="BC77" s="288">
        <f ca="1">IF(AND(leveraged_property,down_payment&gt;0),IRR(($AO$4:AO76,AQ77),),"N/A")</f>
        <v>1.7489064994120139E-2</v>
      </c>
      <c r="BD77" s="288">
        <f ca="1">IF(AND(leveraged_property,down_payment&gt;0),IRR(($AR$4:AR76,AT77),),"N/A")</f>
        <v>1.7376155752843687E-2</v>
      </c>
      <c r="BE77" s="288">
        <f ca="1">IF(AND(leveraged_property,down_payment&gt;0),IRR(($AU$4:AU76,AW77),),"N/A")</f>
        <v>1.7262511487135944E-2</v>
      </c>
      <c r="BF77" s="103"/>
      <c r="BG77" s="290">
        <f ca="1">IF(AND(leveraged_property,down_payment&gt;0),((1+AY77)^12)-1,"N/A")</f>
        <v>0.23773854413736739</v>
      </c>
      <c r="BH77" s="290">
        <f ca="1">IF(AND(leveraged_property,down_payment&gt;0),((1+AZ77)^12)-1,"N/A")</f>
        <v>0.23613948759145043</v>
      </c>
      <c r="BI77" s="290">
        <f ca="1">IF(AND(leveraged_property,down_payment&gt;0),((1+BA77)^12)-1,"N/A")</f>
        <v>0.23452979759436321</v>
      </c>
      <c r="BJ77" s="305">
        <f ca="1">IF(AND(leveraged_property,down_payment&gt;0),((1+BB77)^12)-1,"N/A")</f>
        <v>0.23290997368177035</v>
      </c>
      <c r="BK77" s="290">
        <f ca="1">IF(AND(leveraged_property,down_payment&gt;0),((1+BC77)^12)-1,"N/A")</f>
        <v>0.23128051395916049</v>
      </c>
      <c r="BL77" s="290">
        <f ca="1">IF(AND(leveraged_property,down_payment&gt;0),((1+BD77)^12)-1,"N/A")</f>
        <v>0.22964191397386458</v>
      </c>
      <c r="BM77" s="290">
        <f ca="1">IF(AND(leveraged_property,down_payment&gt;0),((1+BE77)^12)-1,"N/A")</f>
        <v>0.22799466563971915</v>
      </c>
    </row>
    <row r="78" spans="1:65">
      <c r="A78" s="137">
        <f>Model_Mthly!A78</f>
        <v>42415</v>
      </c>
      <c r="B78" s="138">
        <f>Model_Mthly!B78</f>
        <v>74</v>
      </c>
      <c r="C78" s="223"/>
      <c r="D78" s="139">
        <f>Model_Mthly!AQ78</f>
        <v>122579.35225290226</v>
      </c>
      <c r="E78" s="231">
        <f>IF(OR($H$3&lt;=0.0075,$H$3=""),0,SUM(Model_Mthly!AQ78,(SUM(Model_Mthly!Q79:Q90)/$E$3)*(1-cost_of_sale),-Model_Mthly!V78))</f>
        <v>27949501.493221015</v>
      </c>
      <c r="F78" s="231">
        <f>IF(OR($H$3&lt;=0.0075,$H$3=""),0,SUM(Model_Mthly!AQ78,(SUM(Model_Mthly!Q79:Q90)/$F$3)*(1-cost_of_sale),-Model_Mthly!V78))</f>
        <v>26735723.745174989</v>
      </c>
      <c r="G78" s="231">
        <f>IF(OR($H$3&lt;=0.0075,$H$3=""),0,SUM(Model_Mthly!AQ78,(SUM(Model_Mthly!Q79:Q90)/$G$3)*(1-cost_of_sale),-Model_Mthly!V78))</f>
        <v>25600254.238938376</v>
      </c>
      <c r="H78" s="232">
        <f>IF(OR($H$3&lt;=0.0075,$H$3=""),0,SUM(Model_Mthly!AQ78,(SUM(Model_Mthly!Q79:Q90)/$H$3)*(1-cost_of_sale),-Model_Mthly!V78))</f>
        <v>24535751.576841563</v>
      </c>
      <c r="I78" s="231">
        <f>IF(OR($H$3&lt;=0.0075,$H$3=""),0,SUM(Model_Mthly!AQ78,(SUM(Model_Mthly!Q79:Q90)/$I$3)*(1-cost_of_sale),-Model_Mthly!V78))</f>
        <v>23535764.227599092</v>
      </c>
      <c r="J78" s="231">
        <f>IF(OR($H$3&lt;=0.0075,$H$3=""),0,SUM(Model_Mthly!AQ78,(SUM(Model_Mthly!Q79:Q90)/$J$3)*(1-cost_of_sale),-Model_Mthly!V78))</f>
        <v>22594599.663606182</v>
      </c>
      <c r="K78" s="231">
        <f>IF(OR($H$3&lt;=0.0075,$H$3=""),0,SUM(Model_Mthly!AQ78,(SUM(Model_Mthly!Q79:Q90)/$K$3)*(1-cost_of_sale),-Model_Mthly!V78))</f>
        <v>21707215.93184144</v>
      </c>
      <c r="L78" s="160"/>
      <c r="M78" s="302">
        <f>IF(OR($H$3&lt;=0.0075,$H$3="",down_payment&lt;=0),"N/A",IRR(($D$4:D77,E78),))</f>
        <v>1.8866254410243932E-2</v>
      </c>
      <c r="N78" s="288">
        <f>IF(OR($H$3&lt;=0.0075,$H$3="",down_payment&lt;=0),"N/A",IRR(($D$4:D77,F78),))</f>
        <v>1.8385029697804551E-2</v>
      </c>
      <c r="O78" s="288">
        <f>IF(OR($H$3&lt;=0.0075,$H$3="",down_payment&lt;=0),"N/A",IRR(($D$4:D77,G78),))</f>
        <v>1.7917992153897763E-2</v>
      </c>
      <c r="P78" s="303">
        <f>IF(OR($H$3&lt;=0.0075,$H$3="",down_payment&lt;=0),"N/A",IRR(($D$4:D77,H78),))</f>
        <v>1.746419904560648E-2</v>
      </c>
      <c r="Q78" s="288">
        <f>IF(OR($H$3&lt;=0.0075,$H$3="",down_payment&lt;=0),"N/A",IRR(($D$4:D77,I78),))</f>
        <v>1.7022795179452051E-2</v>
      </c>
      <c r="R78" s="288">
        <f>IF(OR($H$3&lt;=0.0075,$H$3="",down_payment&lt;=0),"N/A",IRR(($D$4:D77,J78),))</f>
        <v>1.6593002355901453E-2</v>
      </c>
      <c r="S78" s="288">
        <f>IF(OR($H$3&lt;=0.0075,$H$3="",down_payment&lt;=0),"N/A",IRR(($D$4:D77,K78),))</f>
        <v>1.6174110361013988E-2</v>
      </c>
      <c r="T78" s="233"/>
      <c r="U78" s="304">
        <f t="shared" si="18"/>
        <v>0.25142878411810354</v>
      </c>
      <c r="V78" s="304">
        <f t="shared" si="19"/>
        <v>0.24435437352913669</v>
      </c>
      <c r="W78" s="304">
        <f t="shared" si="20"/>
        <v>0.23752359869734185</v>
      </c>
      <c r="X78" s="305">
        <f t="shared" si="21"/>
        <v>0.23091947409384739</v>
      </c>
      <c r="Y78" s="304">
        <f t="shared" si="22"/>
        <v>0.22452666260436716</v>
      </c>
      <c r="Z78" s="304">
        <f t="shared" si="23"/>
        <v>0.21833127068477576</v>
      </c>
      <c r="AA78" s="304">
        <f t="shared" si="24"/>
        <v>0.21232067414534406</v>
      </c>
      <c r="AB78" s="103"/>
      <c r="AC78" s="149">
        <f>SUM(Model_Mthly!$Q78,-IF(AND(leveraged_property,B78&lt;=amort_period),-PMT(AC$3/12,amort_period,loan_amount),0))</f>
        <v>126962.81041307136</v>
      </c>
      <c r="AD78" s="149">
        <f>AD77+IF(AND(leveraged_property,$B78&lt;=amort_period),PPMT(AD$3/12,$B78,amort_period,loan_amount),0)</f>
        <v>8474697.4159170967</v>
      </c>
      <c r="AE78" s="149">
        <f ca="1">SUM(AC78,Model_Mthly!$AA78,-AD78)</f>
        <v>24651847.919497356</v>
      </c>
      <c r="AF78" s="149">
        <f>SUM(Model_Mthly!$Q78,-IF(AND(leveraged_property,B78&lt;=amort_period),-PMT(AF$3/12,amort_period,loan_amount),0))</f>
        <v>125521.25319471436</v>
      </c>
      <c r="AG78" s="149">
        <f>AG77+IF(AND(leveraged_property,$B78&lt;=amort_period),PPMT(AG$3/12,$B78,amort_period,loan_amount),0)</f>
        <v>8512992.8876217436</v>
      </c>
      <c r="AH78" s="149">
        <f ca="1">SUM(AF78,Model_Mthly!$AA78,-AG78)</f>
        <v>24612110.890574351</v>
      </c>
      <c r="AI78" s="149">
        <f>SUM(Model_Mthly!$Q78,-IF(AND(leveraged_property,B78&lt;=amort_period),-PMT(AI$3/12,amort_period,loan_amount),0))</f>
        <v>124059.95567738765</v>
      </c>
      <c r="AJ78" s="149">
        <f>AJ77+IF(AND(leveraged_property,$B78&lt;=amort_period),PPMT(AJ$3/12,$B78,amort_period,loan_amount),0)</f>
        <v>8550228.0926242992</v>
      </c>
      <c r="AK78" s="149">
        <f ca="1">SUM(AI78,Model_Mthly!$AA78,-AJ78)</f>
        <v>24573414.388054468</v>
      </c>
      <c r="AL78" s="229">
        <f>SUM(Model_Mthly!$Q78,-IF(AND(leveraged_property,B78&lt;=amort_period),-PMT(AL$3/12,amort_period,loan_amount),0))</f>
        <v>122579.35225290226</v>
      </c>
      <c r="AM78" s="229">
        <f>AM77+IF(AND(leveraged_property,$B78&lt;=amort_period),PPMT(AM$3/12,$B78,amort_period,loan_amount),0)</f>
        <v>8586410.3004127201</v>
      </c>
      <c r="AN78" s="229">
        <f ca="1">SUM(AL78,Model_Mthly!$AA78,-AM78)</f>
        <v>24535751.576841563</v>
      </c>
      <c r="AO78" s="149">
        <f>SUM(Model_Mthly!$Q78,-IF(AND(leveraged_property,B78&lt;=amort_period),-PMT(AO$3/12,amort_period,loan_amount),0))</f>
        <v>121079.88601873006</v>
      </c>
      <c r="AP78" s="162">
        <f>AP77+IF(AND(leveraged_property,$B78&lt;=amort_period),PPMT(AP$3/12,$B78,amort_period,loan_amount),0)</f>
        <v>8621548.088738678</v>
      </c>
      <c r="AQ78" s="149">
        <f ca="1">SUM(AO78,Model_Mthly!$AA78,-AP78)</f>
        <v>24499114.322281435</v>
      </c>
      <c r="AR78" s="149">
        <f>SUM(Model_Mthly!$Q78,-IF(AND(leveraged_property,B78&lt;=amort_period),-PMT(AR$3/12,amort_period,loan_amount),0))</f>
        <v>119562.00749135538</v>
      </c>
      <c r="AS78" s="162">
        <f>AS77+IF(AND(leveraged_property,$B78&lt;=amort_period),PPMT(AS$3/12,$B78,amort_period,loan_amount),0)</f>
        <v>8655651.2777968198</v>
      </c>
      <c r="AT78" s="149">
        <f ca="1">SUM(AR78,Model_Mthly!$AA78,-AS78)</f>
        <v>24463493.254695915</v>
      </c>
      <c r="AU78" s="149">
        <f>SUM(Model_Mthly!$Q78,-IF(AND(leveraged_property,B78&lt;=amort_period),-PMT(AU$3/12,amort_period,loan_amount),0))</f>
        <v>118026.1733403601</v>
      </c>
      <c r="AV78" s="162">
        <f>AV77+IF(AND(leveraged_property,$B78&lt;=amort_period),PPMT(AV$3/12,$B78,amort_period,loan_amount),0)</f>
        <v>8688730.8621281441</v>
      </c>
      <c r="AW78" s="149">
        <f ca="1">SUM(AU78,Model_Mthly!$AA78,-AV78)</f>
        <v>24428877.836213596</v>
      </c>
      <c r="AX78" s="103"/>
      <c r="AY78" s="288">
        <f ca="1">IF(AND(leveraged_property,down_payment&gt;0),IRR(($AC$4:AC77,AE78),),"N/A")</f>
        <v>1.7795741642599356E-2</v>
      </c>
      <c r="AZ78" s="288">
        <f ca="1">IF(AND(leveraged_property,down_payment&gt;0),IRR(($AF$4:AF77,AH78),),"N/A")</f>
        <v>1.7686083297889919E-2</v>
      </c>
      <c r="BA78" s="288">
        <f ca="1">IF(AND(leveraged_property,down_payment&gt;0),IRR(($AI$4:AI77,AK78),),"N/A")</f>
        <v>1.7575558562369004E-2</v>
      </c>
      <c r="BB78" s="303">
        <f ca="1">IF(AND(leveraged_property,down_payment&gt;0),IRR(($AL$4:AL77,AN78),),"N/A")</f>
        <v>1.746419904560648E-2</v>
      </c>
      <c r="BC78" s="288">
        <f ca="1">IF(AND(leveraged_property,down_payment&gt;0),IRR(($AO$4:AO77,AQ78),),"N/A")</f>
        <v>1.735203639788287E-2</v>
      </c>
      <c r="BD78" s="288">
        <f ca="1">IF(AND(leveraged_property,down_payment&gt;0),IRR(($AR$4:AR77,AT78),),"N/A")</f>
        <v>1.7239102234432709E-2</v>
      </c>
      <c r="BE78" s="288">
        <f ca="1">IF(AND(leveraged_property,down_payment&gt;0),IRR(($AU$4:AU77,AW78),),"N/A")</f>
        <v>1.7125428062655771E-2</v>
      </c>
      <c r="BF78" s="103"/>
      <c r="BG78" s="290">
        <f ca="1">IF(AND(leveraged_property,down_payment&gt;0),((1+AY78)^12)-1,"N/A")</f>
        <v>0.23574127829270419</v>
      </c>
      <c r="BH78" s="290">
        <f ca="1">IF(AND(leveraged_property,down_payment&gt;0),((1+AZ78)^12)-1,"N/A")</f>
        <v>0.23414454448653599</v>
      </c>
      <c r="BI78" s="290">
        <f ca="1">IF(AND(leveraged_property,down_payment&gt;0),((1+BA78)^12)-1,"N/A")</f>
        <v>0.2325371090977113</v>
      </c>
      <c r="BJ78" s="305">
        <f ca="1">IF(AND(leveraged_property,down_payment&gt;0),((1+BB78)^12)-1,"N/A")</f>
        <v>0.23091947409384739</v>
      </c>
      <c r="BK78" s="290">
        <f ca="1">IF(AND(leveraged_property,down_payment&gt;0),((1+BC78)^12)-1,"N/A")</f>
        <v>0.22929214006436971</v>
      </c>
      <c r="BL78" s="290">
        <f ca="1">IF(AND(leveraged_property,down_payment&gt;0),((1+BD78)^12)-1,"N/A")</f>
        <v>0.22765560508363447</v>
      </c>
      <c r="BM78" s="290">
        <f ca="1">IF(AND(leveraged_property,down_payment&gt;0),((1+BE78)^12)-1,"N/A")</f>
        <v>0.22601036362678029</v>
      </c>
    </row>
    <row r="79" spans="1:65">
      <c r="A79" s="137">
        <f>Model_Mthly!A79</f>
        <v>42444</v>
      </c>
      <c r="B79" s="138">
        <f>Model_Mthly!B79</f>
        <v>75</v>
      </c>
      <c r="C79" s="223"/>
      <c r="D79" s="139">
        <f>Model_Mthly!AQ79</f>
        <v>183470.45084389448</v>
      </c>
      <c r="E79" s="231">
        <f>IF(OR($H$3&lt;=0.0075,$H$3=""),0,SUM(Model_Mthly!AQ79,(SUM(Model_Mthly!Q80:Q91)/$E$3)*(1-cost_of_sale),-Model_Mthly!V79))</f>
        <v>28024539.785029277</v>
      </c>
      <c r="F79" s="231">
        <f>IF(OR($H$3&lt;=0.0075,$H$3=""),0,SUM(Model_Mthly!AQ79,(SUM(Model_Mthly!Q80:Q91)/$F$3)*(1-cost_of_sale),-Model_Mthly!V79))</f>
        <v>26810776.649695486</v>
      </c>
      <c r="G79" s="231">
        <f>IF(OR($H$3&lt;=0.0075,$H$3=""),0,SUM(Model_Mthly!AQ79,(SUM(Model_Mthly!Q80:Q91)/$G$3)*(1-cost_of_sale),-Model_Mthly!V79))</f>
        <v>25675320.813415483</v>
      </c>
      <c r="H79" s="232">
        <f>IF(OR($H$3&lt;=0.0075,$H$3=""),0,SUM(Model_Mthly!AQ79,(SUM(Model_Mthly!Q80:Q91)/$H$3)*(1-cost_of_sale),-Model_Mthly!V79))</f>
        <v>24610830.966902986</v>
      </c>
      <c r="I79" s="231">
        <f>IF(OR($H$3&lt;=0.0075,$H$3=""),0,SUM(Model_Mthly!AQ79,(SUM(Model_Mthly!Q80:Q91)/$I$3)*(1-cost_of_sale),-Model_Mthly!V79))</f>
        <v>23610855.656542763</v>
      </c>
      <c r="J79" s="231">
        <f>IF(OR($H$3&lt;=0.0075,$H$3=""),0,SUM(Model_Mthly!AQ79,(SUM(Model_Mthly!Q80:Q91)/$J$3)*(1-cost_of_sale),-Model_Mthly!V79))</f>
        <v>22669702.423262551</v>
      </c>
      <c r="K79" s="231">
        <f>IF(OR($H$3&lt;=0.0075,$H$3=""),0,SUM(Model_Mthly!AQ79,(SUM(Model_Mthly!Q80:Q91)/$K$3)*(1-cost_of_sale),-Model_Mthly!V79))</f>
        <v>21782329.374741212</v>
      </c>
      <c r="L79" s="160"/>
      <c r="M79" s="302">
        <f>IF(OR($H$3&lt;=0.0075,$H$3="",down_payment&lt;=0),"N/A",IRR(($D$4:D78,E79),))</f>
        <v>1.8741919530859196E-2</v>
      </c>
      <c r="N79" s="288">
        <f>IF(OR($H$3&lt;=0.0075,$H$3="",down_payment&lt;=0),"N/A",IRR(($D$4:D78,F79),))</f>
        <v>1.827003283754151E-2</v>
      </c>
      <c r="O79" s="288">
        <f>IF(OR($H$3&lt;=0.0075,$H$3="",down_payment&lt;=0),"N/A",IRR(($D$4:D78,G79),))</f>
        <v>1.7812136955695085E-2</v>
      </c>
      <c r="P79" s="303">
        <f>IF(OR($H$3&lt;=0.0075,$H$3="",down_payment&lt;=0),"N/A",IRR(($D$4:D78,H79),))</f>
        <v>1.7367303503831616E-2</v>
      </c>
      <c r="Q79" s="288">
        <f>IF(OR($H$3&lt;=0.0075,$H$3="",down_payment&lt;=0),"N/A",IRR(($D$4:D78,I79),))</f>
        <v>1.693469035354853E-2</v>
      </c>
      <c r="R79" s="288">
        <f>IF(OR($H$3&lt;=0.0075,$H$3="",down_payment&lt;=0),"N/A",IRR(($D$4:D78,J79),))</f>
        <v>1.6513531239528024E-2</v>
      </c>
      <c r="S79" s="288">
        <f>IF(OR($H$3&lt;=0.0075,$H$3="",down_payment&lt;=0),"N/A",IRR(($D$4:D78,K79),))</f>
        <v>1.6103126884111335E-2</v>
      </c>
      <c r="T79" s="233"/>
      <c r="U79" s="304">
        <f t="shared" si="18"/>
        <v>0.24959743258480249</v>
      </c>
      <c r="V79" s="304">
        <f t="shared" si="19"/>
        <v>0.24266925833690323</v>
      </c>
      <c r="W79" s="304">
        <f t="shared" si="20"/>
        <v>0.23598017290917217</v>
      </c>
      <c r="X79" s="305">
        <f t="shared" si="21"/>
        <v>0.22951352988949192</v>
      </c>
      <c r="Y79" s="304">
        <f t="shared" si="22"/>
        <v>0.2232542979794756</v>
      </c>
      <c r="Z79" s="304">
        <f t="shared" si="23"/>
        <v>0.2171888603695038</v>
      </c>
      <c r="AA79" s="304">
        <f t="shared" si="24"/>
        <v>0.2113048441030374</v>
      </c>
      <c r="AB79" s="103"/>
      <c r="AC79" s="149">
        <f>SUM(Model_Mthly!$Q79,-IF(AND(leveraged_property,B79&lt;=amort_period),-PMT(AC$3/12,amort_period,loan_amount),0))</f>
        <v>187853.90900406358</v>
      </c>
      <c r="AD79" s="149">
        <f>AD78+IF(AND(leveraged_property,$B79&lt;=amort_period),PPMT(AD$3/12,$B79,amort_period,loan_amount),0)</f>
        <v>8458686.5962206386</v>
      </c>
      <c r="AE79" s="149">
        <f ca="1">SUM(AC79,Model_Mthly!$AA79,-AD79)</f>
        <v>24728352.554670829</v>
      </c>
      <c r="AF79" s="149">
        <f>SUM(Model_Mthly!$Q79,-IF(AND(leveraged_property,B79&lt;=amort_period),-PMT(AF$3/12,amort_period,loan_amount),0))</f>
        <v>186412.35178570659</v>
      </c>
      <c r="AG79" s="149">
        <f>AG78+IF(AND(leveraged_property,$B79&lt;=amort_period),PPMT(AG$3/12,$B79,amort_period,loan_amount),0)</f>
        <v>8497465.6371340137</v>
      </c>
      <c r="AH79" s="149">
        <f ca="1">SUM(AF79,Model_Mthly!$AA79,-AG79)</f>
        <v>24688131.956539102</v>
      </c>
      <c r="AI79" s="149">
        <f>SUM(Model_Mthly!$Q79,-IF(AND(leveraged_property,B79&lt;=amort_period),-PMT(AI$3/12,amort_period,loan_amount),0))</f>
        <v>184951.05426837987</v>
      </c>
      <c r="AJ79" s="149">
        <f>AJ78+IF(AND(leveraged_property,$B79&lt;=amort_period),PPMT(AJ$3/12,$B79,amort_period,loan_amount),0)</f>
        <v>8535175.9888260514</v>
      </c>
      <c r="AK79" s="149">
        <f ca="1">SUM(AI79,Model_Mthly!$AA79,-AJ79)</f>
        <v>24648960.307329733</v>
      </c>
      <c r="AL79" s="229">
        <f>SUM(Model_Mthly!$Q79,-IF(AND(leveraged_property,B79&lt;=amort_period),-PMT(AL$3/12,amort_period,loan_amount),0))</f>
        <v>183470.45084389448</v>
      </c>
      <c r="AM79" s="229">
        <f>AM78+IF(AND(leveraged_property,$B79&lt;=amort_period),PPMT(AM$3/12,$B79,amort_period,loan_amount),0)</f>
        <v>8571824.7258283123</v>
      </c>
      <c r="AN79" s="229">
        <f ca="1">SUM(AL79,Model_Mthly!$AA79,-AM79)</f>
        <v>24610830.966902986</v>
      </c>
      <c r="AO79" s="149">
        <f>SUM(Model_Mthly!$Q79,-IF(AND(leveraged_property,B79&lt;=amort_period),-PMT(AO$3/12,amort_period,loan_amount),0))</f>
        <v>181970.98460972228</v>
      </c>
      <c r="AP79" s="162">
        <f>AP78+IF(AND(leveraged_property,$B79&lt;=amort_period),PPMT(AP$3/12,$B79,amort_period,loan_amount),0)</f>
        <v>8607420.2519684136</v>
      </c>
      <c r="AQ79" s="149">
        <f ca="1">SUM(AO79,Model_Mthly!$AA79,-AP79)</f>
        <v>24573735.974528715</v>
      </c>
      <c r="AR79" s="149">
        <f>SUM(Model_Mthly!$Q79,-IF(AND(leveraged_property,B79&lt;=amort_period),-PMT(AR$3/12,amort_period,loan_amount),0))</f>
        <v>180453.1060823476</v>
      </c>
      <c r="AS79" s="162">
        <f>AS78+IF(AND(leveraged_property,$B79&lt;=amort_period),PPMT(AS$3/12,$B79,amort_period,loan_amount),0)</f>
        <v>8641972.2342962921</v>
      </c>
      <c r="AT79" s="149">
        <f ca="1">SUM(AR79,Model_Mthly!$AA79,-AS79)</f>
        <v>24537666.11367346</v>
      </c>
      <c r="AU79" s="149">
        <f>SUM(Model_Mthly!$Q79,-IF(AND(leveraged_property,B79&lt;=amort_period),-PMT(AU$3/12,amort_period,loan_amount),0))</f>
        <v>178917.27193135233</v>
      </c>
      <c r="AV79" s="162">
        <f>AV78+IF(AND(leveraged_property,$B79&lt;=amort_period),PPMT(AV$3/12,$B79,amort_period,loan_amount),0)</f>
        <v>8675491.5346612204</v>
      </c>
      <c r="AW79" s="149">
        <f ca="1">SUM(AU79,Model_Mthly!$AA79,-AV79)</f>
        <v>24502610.979157537</v>
      </c>
      <c r="AX79" s="103"/>
      <c r="AY79" s="288">
        <f ca="1">IF(AND(leveraged_property,down_payment&gt;0),IRR(($AC$4:AC78,AE79),),"N/A")</f>
        <v>1.7698380138815323E-2</v>
      </c>
      <c r="AZ79" s="288">
        <f ca="1">IF(AND(leveraged_property,down_payment&gt;0),IRR(($AF$4:AF78,AH79),),"N/A")</f>
        <v>1.7588881734192614E-2</v>
      </c>
      <c r="BA79" s="288">
        <f ca="1">IF(AND(leveraged_property,down_payment&gt;0),IRR(($AI$4:AI78,AK79),),"N/A")</f>
        <v>1.7478512267095982E-2</v>
      </c>
      <c r="BB79" s="303">
        <f ca="1">IF(AND(leveraged_property,down_payment&gt;0),IRR(($AL$4:AL78,AN79),),"N/A")</f>
        <v>1.7367303503831616E-2</v>
      </c>
      <c r="BC79" s="288">
        <f ca="1">IF(AND(leveraged_property,down_payment&gt;0),IRR(($AO$4:AO78,AQ79),),"N/A")</f>
        <v>1.7255287255864855E-2</v>
      </c>
      <c r="BD79" s="288">
        <f ca="1">IF(AND(leveraged_property,down_payment&gt;0),IRR(($AR$4:AR78,AT79),),"N/A")</f>
        <v>1.7142495303484415E-2</v>
      </c>
      <c r="BE79" s="288">
        <f ca="1">IF(AND(leveraged_property,down_payment&gt;0),IRR(($AU$4:AU78,AW79),),"N/A")</f>
        <v>1.7028959322442024E-2</v>
      </c>
      <c r="BF79" s="103"/>
      <c r="BG79" s="290">
        <f ca="1">IF(AND(leveraged_property,down_payment&gt;0),((1+AY79)^12)-1,"N/A")</f>
        <v>0.23432350443883543</v>
      </c>
      <c r="BH79" s="290">
        <f ca="1">IF(AND(leveraged_property,down_payment&gt;0),((1+AZ79)^12)-1,"N/A")</f>
        <v>0.23273077514392981</v>
      </c>
      <c r="BI79" s="290">
        <f ca="1">IF(AND(leveraged_property,down_payment&gt;0),((1+BA79)^12)-1,"N/A")</f>
        <v>0.23112728232508406</v>
      </c>
      <c r="BJ79" s="305">
        <f ca="1">IF(AND(leveraged_property,down_payment&gt;0),((1+BB79)^12)-1,"N/A")</f>
        <v>0.22951352988949192</v>
      </c>
      <c r="BK79" s="290">
        <f ca="1">IF(AND(leveraged_property,down_payment&gt;0),((1+BC79)^12)-1,"N/A")</f>
        <v>0.22789002042729134</v>
      </c>
      <c r="BL79" s="290">
        <f ca="1">IF(AND(leveraged_property,down_payment&gt;0),((1+BD79)^12)-1,"N/A")</f>
        <v>0.22625725406664632</v>
      </c>
      <c r="BM79" s="290">
        <f ca="1">IF(AND(leveraged_property,down_payment&gt;0),((1+BE79)^12)-1,"N/A")</f>
        <v>0.22461572738172575</v>
      </c>
    </row>
    <row r="80" spans="1:65">
      <c r="A80" s="137">
        <f>Model_Mthly!A80</f>
        <v>42475</v>
      </c>
      <c r="B80" s="138">
        <f>Model_Mthly!B80</f>
        <v>76</v>
      </c>
      <c r="C80" s="223"/>
      <c r="D80" s="139">
        <f>Model_Mthly!AQ80</f>
        <v>183453.28970223045</v>
      </c>
      <c r="E80" s="231">
        <f>IF(OR($H$3&lt;=0.0075,$H$3=""),0,SUM(Model_Mthly!AQ80,(SUM(Model_Mthly!Q81:Q92)/$E$3)*(1-cost_of_sale),-Model_Mthly!V80))</f>
        <v>28038729.282446504</v>
      </c>
      <c r="F80" s="231">
        <f>IF(OR($H$3&lt;=0.0075,$H$3=""),0,SUM(Model_Mthly!AQ80,(SUM(Model_Mthly!Q81:Q92)/$F$3)*(1-cost_of_sale),-Model_Mthly!V80))</f>
        <v>26824981.005998567</v>
      </c>
      <c r="G80" s="231">
        <f>IF(OR($H$3&lt;=0.0075,$H$3=""),0,SUM(Model_Mthly!AQ80,(SUM(Model_Mthly!Q81:Q92)/$G$3)*(1-cost_of_sale),-Model_Mthly!V80))</f>
        <v>25689539.069966629</v>
      </c>
      <c r="H80" s="232">
        <f>IF(OR($H$3&lt;=0.0075,$H$3=""),0,SUM(Model_Mthly!AQ80,(SUM(Model_Mthly!Q81:Q92)/$H$3)*(1-cost_of_sale),-Model_Mthly!V80))</f>
        <v>24625062.254936688</v>
      </c>
      <c r="I80" s="231">
        <f>IF(OR($H$3&lt;=0.0075,$H$3=""),0,SUM(Model_Mthly!AQ80,(SUM(Model_Mthly!Q81:Q92)/$I$3)*(1-cost_of_sale),-Model_Mthly!V80))</f>
        <v>23625099.186272196</v>
      </c>
      <c r="J80" s="231">
        <f>IF(OR($H$3&lt;=0.0075,$H$3=""),0,SUM(Model_Mthly!AQ80,(SUM(Model_Mthly!Q81:Q92)/$J$3)*(1-cost_of_sale),-Model_Mthly!V80))</f>
        <v>22683957.474587969</v>
      </c>
      <c r="K80" s="231">
        <f>IF(OR($H$3&lt;=0.0075,$H$3=""),0,SUM(Model_Mthly!AQ80,(SUM(Model_Mthly!Q81:Q92)/$K$3)*(1-cost_of_sale),-Model_Mthly!V80))</f>
        <v>21796595.289285697</v>
      </c>
      <c r="L80" s="160"/>
      <c r="M80" s="302">
        <f>IF(OR($H$3&lt;=0.0075,$H$3="",down_payment&lt;=0),"N/A",IRR(($D$4:D79,E80),))</f>
        <v>1.8621161057679841E-2</v>
      </c>
      <c r="N80" s="288">
        <f>IF(OR($H$3&lt;=0.0075,$H$3="",down_payment&lt;=0),"N/A",IRR(($D$4:D79,F80),))</f>
        <v>1.8158348095442041E-2</v>
      </c>
      <c r="O80" s="288">
        <f>IF(OR($H$3&lt;=0.0075,$H$3="",down_payment&lt;=0),"N/A",IRR(($D$4:D79,G80),))</f>
        <v>1.7709333807453913E-2</v>
      </c>
      <c r="P80" s="303">
        <f>IF(OR($H$3&lt;=0.0075,$H$3="",down_payment&lt;=0),"N/A",IRR(($D$4:D79,H80),))</f>
        <v>1.7273203763979433E-2</v>
      </c>
      <c r="Q80" s="288">
        <f>IF(OR($H$3&lt;=0.0075,$H$3="",down_payment&lt;=0),"N/A",IRR(($D$4:D79,I80),))</f>
        <v>1.6849128535530247E-2</v>
      </c>
      <c r="R80" s="288">
        <f>IF(OR($H$3&lt;=0.0075,$H$3="",down_payment&lt;=0),"N/A",IRR(($D$4:D79,J80),))</f>
        <v>1.6436353454161941E-2</v>
      </c>
      <c r="S80" s="288">
        <f>IF(OR($H$3&lt;=0.0075,$H$3="",down_payment&lt;=0),"N/A",IRR(($D$4:D79,K80),))</f>
        <v>1.6034189867391278E-2</v>
      </c>
      <c r="T80" s="233"/>
      <c r="U80" s="304">
        <f t="shared" si="18"/>
        <v>0.24782111061723788</v>
      </c>
      <c r="V80" s="304">
        <f t="shared" si="19"/>
        <v>0.24103468009211815</v>
      </c>
      <c r="W80" s="304">
        <f t="shared" si="20"/>
        <v>0.23448293679708421</v>
      </c>
      <c r="X80" s="305">
        <f t="shared" si="21"/>
        <v>0.22814956156302824</v>
      </c>
      <c r="Y80" s="304">
        <f t="shared" si="22"/>
        <v>0.22201981821221639</v>
      </c>
      <c r="Z80" s="304">
        <f t="shared" si="23"/>
        <v>0.21608035699964478</v>
      </c>
      <c r="AA80" s="304">
        <f t="shared" si="24"/>
        <v>0.21031904742778229</v>
      </c>
      <c r="AB80" s="103"/>
      <c r="AC80" s="149">
        <f>SUM(Model_Mthly!$Q80,-IF(AND(leveraged_property,B80&lt;=amort_period),-PMT(AC$3/12,amort_period,loan_amount),0))</f>
        <v>187836.74786239956</v>
      </c>
      <c r="AD80" s="149">
        <f>AD79+IF(AND(leveraged_property,$B80&lt;=amort_period),PPMT(AD$3/12,$B80,amort_period,loan_amount),0)</f>
        <v>8442612.4003628828</v>
      </c>
      <c r="AE80" s="149">
        <f ca="1">SUM(AC80,Model_Mthly!$AA80,-AD80)</f>
        <v>24744005.613427702</v>
      </c>
      <c r="AF80" s="149">
        <f>SUM(Model_Mthly!$Q80,-IF(AND(leveraged_property,B80&lt;=amort_period),-PMT(AF$3/12,amort_period,loan_amount),0))</f>
        <v>186395.19064404257</v>
      </c>
      <c r="AG80" s="149">
        <f>AG79+IF(AND(leveraged_property,$B80&lt;=amort_period),PPMT(AG$3/12,$B80,amort_period,loan_amount),0)</f>
        <v>8481873.6897692531</v>
      </c>
      <c r="AH80" s="149">
        <f ca="1">SUM(AF80,Model_Mthly!$AA80,-AG80)</f>
        <v>24703302.766802974</v>
      </c>
      <c r="AI80" s="149">
        <f>SUM(Model_Mthly!$Q80,-IF(AND(leveraged_property,B80&lt;=amort_period),-PMT(AI$3/12,amort_period,loan_amount),0))</f>
        <v>184933.89312671585</v>
      </c>
      <c r="AJ80" s="149">
        <f>AJ79+IF(AND(leveraged_property,$B80&lt;=amort_period),PPMT(AJ$3/12,$B80,amort_period,loan_amount),0)</f>
        <v>8520058.0320736859</v>
      </c>
      <c r="AK80" s="149">
        <f ca="1">SUM(AI80,Model_Mthly!$AA80,-AJ80)</f>
        <v>24663657.126981214</v>
      </c>
      <c r="AL80" s="229">
        <f>SUM(Model_Mthly!$Q80,-IF(AND(leveraged_property,B80&lt;=amort_period),-PMT(AL$3/12,amort_period,loan_amount),0))</f>
        <v>183453.28970223045</v>
      </c>
      <c r="AM80" s="229">
        <f>AM79+IF(AND(leveraged_property,$B80&lt;=amort_period),PPMT(AM$3/12,$B80,amort_period,loan_amount),0)</f>
        <v>8557172.3006937262</v>
      </c>
      <c r="AN80" s="229">
        <f ca="1">SUM(AL80,Model_Mthly!$AA80,-AM80)</f>
        <v>24625062.254936688</v>
      </c>
      <c r="AO80" s="149">
        <f>SUM(Model_Mthly!$Q80,-IF(AND(leveraged_property,B80&lt;=amort_period),-PMT(AO$3/12,amort_period,loan_amount),0))</f>
        <v>181953.82346805825</v>
      </c>
      <c r="AP80" s="162">
        <f>AP79+IF(AND(leveraged_property,$B80&lt;=amort_period),PPMT(AP$3/12,$B80,amort_period,loan_amount),0)</f>
        <v>8593224.7193136252</v>
      </c>
      <c r="AQ80" s="149">
        <f ca="1">SUM(AO80,Model_Mthly!$AA80,-AP80)</f>
        <v>24587510.370082621</v>
      </c>
      <c r="AR80" s="149">
        <f>SUM(Model_Mthly!$Q80,-IF(AND(leveraged_property,B80&lt;=amort_period),-PMT(AR$3/12,amort_period,loan_amount),0))</f>
        <v>180435.94494068358</v>
      </c>
      <c r="AS80" s="162">
        <f>AS79+IF(AND(leveraged_property,$B80&lt;=amort_period),PPMT(AS$3/12,$B80,amort_period,loan_amount),0)</f>
        <v>8628224.7955782618</v>
      </c>
      <c r="AT80" s="149">
        <f ca="1">SUM(AR80,Model_Mthly!$AA80,-AS80)</f>
        <v>24550992.415290609</v>
      </c>
      <c r="AU80" s="149">
        <f>SUM(Model_Mthly!$Q80,-IF(AND(leveraged_property,B80&lt;=amort_period),-PMT(AU$3/12,amort_period,loan_amount),0))</f>
        <v>178900.1107896883</v>
      </c>
      <c r="AV80" s="162">
        <f>AV79+IF(AND(leveraged_property,$B80&lt;=amort_period),PPMT(AV$3/12,$B80,amort_period,loan_amount),0)</f>
        <v>8662183.2523637395</v>
      </c>
      <c r="AW80" s="149">
        <f ca="1">SUM(AU80,Model_Mthly!$AA80,-AV80)</f>
        <v>24515498.124354132</v>
      </c>
      <c r="AX80" s="103"/>
      <c r="AY80" s="288">
        <f ca="1">IF(AND(leveraged_property,down_payment&gt;0),IRR(($AC$4:AC79,AE80),),"N/A")</f>
        <v>1.7603823114727316E-2</v>
      </c>
      <c r="AZ80" s="288">
        <f ca="1">IF(AND(leveraged_property,down_payment&gt;0),IRR(($AF$4:AF79,AH80),),"N/A")</f>
        <v>1.7494481729255548E-2</v>
      </c>
      <c r="BA80" s="288">
        <f ca="1">IF(AND(leveraged_property,down_payment&gt;0),IRR(($AI$4:AI79,AK80),),"N/A")</f>
        <v>1.738426463901456E-2</v>
      </c>
      <c r="BB80" s="303">
        <f ca="1">IF(AND(leveraged_property,down_payment&gt;0),IRR(($AL$4:AL79,AN80),),"N/A")</f>
        <v>1.7273203763979433E-2</v>
      </c>
      <c r="BC80" s="288">
        <f ca="1">IF(AND(leveraged_property,down_payment&gt;0),IRR(($AO$4:AO79,AQ80),),"N/A")</f>
        <v>1.7161331073794046E-2</v>
      </c>
      <c r="BD80" s="288">
        <f ca="1">IF(AND(leveraged_property,down_payment&gt;0),IRR(($AR$4:AR79,AT80),),"N/A")</f>
        <v>1.704867851086524E-2</v>
      </c>
      <c r="BE80" s="288">
        <f ca="1">IF(AND(leveraged_property,down_payment&gt;0),IRR(($AU$4:AU79,AW80),),"N/A")</f>
        <v>1.6935277916435728E-2</v>
      </c>
      <c r="BF80" s="103"/>
      <c r="BG80" s="290">
        <f ca="1">IF(AND(leveraged_property,down_payment&gt;0),((1+AY80)^12)-1,"N/A")</f>
        <v>0.23294799670505628</v>
      </c>
      <c r="BH80" s="290">
        <f ca="1">IF(AND(leveraged_property,down_payment&gt;0),((1+AZ80)^12)-1,"N/A")</f>
        <v>0.23135917484235935</v>
      </c>
      <c r="BI80" s="290">
        <f ca="1">IF(AND(leveraged_property,down_payment&gt;0),((1+BA80)^12)-1,"N/A")</f>
        <v>0.22975952785778997</v>
      </c>
      <c r="BJ80" s="305">
        <f ca="1">IF(AND(leveraged_property,down_payment&gt;0),((1+BB80)^12)-1,"N/A")</f>
        <v>0.22814956156302824</v>
      </c>
      <c r="BK80" s="290">
        <f ca="1">IF(AND(leveraged_property,down_payment&gt;0),((1+BC80)^12)-1,"N/A")</f>
        <v>0.22652978051474526</v>
      </c>
      <c r="BL80" s="290">
        <f ca="1">IF(AND(leveraged_property,down_payment&gt;0),((1+BD80)^12)-1,"N/A")</f>
        <v>0.22490068686176001</v>
      </c>
      <c r="BM80" s="290">
        <f ca="1">IF(AND(leveraged_property,down_payment&gt;0),((1+BE80)^12)-1,"N/A")</f>
        <v>0.22326277924520133</v>
      </c>
    </row>
    <row r="81" spans="1:65">
      <c r="A81" s="137">
        <f>Model_Mthly!A81</f>
        <v>42505</v>
      </c>
      <c r="B81" s="138">
        <f>Model_Mthly!B81</f>
        <v>77</v>
      </c>
      <c r="C81" s="223"/>
      <c r="D81" s="139">
        <f>Model_Mthly!AQ81</f>
        <v>177759.35411899845</v>
      </c>
      <c r="E81" s="231">
        <f>IF(OR($H$3&lt;=0.0075,$H$3=""),0,SUM(Model_Mthly!AQ81,(SUM(Model_Mthly!Q82:Q93)/$E$3)*(1-cost_of_sale),-Model_Mthly!V81))</f>
        <v>28044293.339937635</v>
      </c>
      <c r="F81" s="231">
        <f>IF(OR($H$3&lt;=0.0075,$H$3=""),0,SUM(Model_Mthly!AQ81,(SUM(Model_Mthly!Q82:Q93)/$F$3)*(1-cost_of_sale),-Model_Mthly!V81))</f>
        <v>26830660.449790001</v>
      </c>
      <c r="G81" s="231">
        <f>IF(OR($H$3&lt;=0.0075,$H$3=""),0,SUM(Model_Mthly!AQ81,(SUM(Model_Mthly!Q82:Q93)/$G$3)*(1-cost_of_sale),-Model_Mthly!V81))</f>
        <v>25695326.455780908</v>
      </c>
      <c r="H81" s="232">
        <f>IF(OR($H$3&lt;=0.0075,$H$3=""),0,SUM(Model_Mthly!AQ81,(SUM(Model_Mthly!Q82:Q93)/$H$3)*(1-cost_of_sale),-Model_Mthly!V81))</f>
        <v>24630950.836397398</v>
      </c>
      <c r="I81" s="231">
        <f>IF(OR($H$3&lt;=0.0075,$H$3=""),0,SUM(Model_Mthly!AQ81,(SUM(Model_Mthly!Q82:Q93)/$I$3)*(1-cost_of_sale),-Model_Mthly!V81))</f>
        <v>23631082.830309849</v>
      </c>
      <c r="J81" s="231">
        <f>IF(OR($H$3&lt;=0.0075,$H$3=""),0,SUM(Model_Mthly!AQ81,(SUM(Model_Mthly!Q82:Q93)/$J$3)*(1-cost_of_sale),-Model_Mthly!V81))</f>
        <v>22690030.589286275</v>
      </c>
      <c r="K81" s="231">
        <f>IF(OR($H$3&lt;=0.0075,$H$3=""),0,SUM(Model_Mthly!AQ81,(SUM(Model_Mthly!Q82:Q93)/$K$3)*(1-cost_of_sale),-Model_Mthly!V81))</f>
        <v>21802752.762035482</v>
      </c>
      <c r="L81" s="160"/>
      <c r="M81" s="302">
        <f>IF(OR($H$3&lt;=0.0075,$H$3="",down_payment&lt;=0),"N/A",IRR(($D$4:D80,E81),))</f>
        <v>1.850064208492827E-2</v>
      </c>
      <c r="N81" s="288">
        <f>IF(OR($H$3&lt;=0.0075,$H$3="",down_payment&lt;=0),"N/A",IRR(($D$4:D80,F81),))</f>
        <v>1.8046567871476495E-2</v>
      </c>
      <c r="O81" s="288">
        <f>IF(OR($H$3&lt;=0.0075,$H$3="",down_payment&lt;=0),"N/A",IRR(($D$4:D80,G81),))</f>
        <v>1.7606103579030058E-2</v>
      </c>
      <c r="P81" s="303">
        <f>IF(OR($H$3&lt;=0.0075,$H$3="",down_payment&lt;=0),"N/A",IRR(($D$4:D80,H81),))</f>
        <v>1.7178348333918323E-2</v>
      </c>
      <c r="Q81" s="288">
        <f>IF(OR($H$3&lt;=0.0075,$H$3="",down_payment&lt;=0),"N/A",IRR(($D$4:D80,I81),))</f>
        <v>1.676248504178213E-2</v>
      </c>
      <c r="R81" s="288">
        <f>IF(OR($H$3&lt;=0.0075,$H$3="",down_payment&lt;=0),"N/A",IRR(($D$4:D80,J81),))</f>
        <v>1.6357770296149359E-2</v>
      </c>
      <c r="S81" s="288">
        <f>IF(OR($H$3&lt;=0.0075,$H$3="",down_payment&lt;=0),"N/A",IRR(($D$4:D80,K81),))</f>
        <v>1.5963525758251655E-2</v>
      </c>
      <c r="T81" s="233"/>
      <c r="U81" s="304">
        <f t="shared" si="18"/>
        <v>0.24605061967162678</v>
      </c>
      <c r="V81" s="304">
        <f t="shared" si="19"/>
        <v>0.23940067806492915</v>
      </c>
      <c r="W81" s="304">
        <f t="shared" si="20"/>
        <v>0.23298115375677741</v>
      </c>
      <c r="X81" s="305">
        <f t="shared" si="21"/>
        <v>0.22677604347852243</v>
      </c>
      <c r="Y81" s="304">
        <f t="shared" si="22"/>
        <v>0.22077089593673849</v>
      </c>
      <c r="Z81" s="304">
        <f t="shared" si="23"/>
        <v>0.21495261917714603</v>
      </c>
      <c r="AA81" s="304">
        <f t="shared" si="24"/>
        <v>0.20930931672800135</v>
      </c>
      <c r="AB81" s="103"/>
      <c r="AC81" s="149">
        <f>SUM(Model_Mthly!$Q81,-IF(AND(leveraged_property,B81&lt;=amort_period),-PMT(AC$3/12,amort_period,loan_amount),0))</f>
        <v>182142.81227916756</v>
      </c>
      <c r="AD81" s="149">
        <f>AD80+IF(AND(leveraged_property,$B81&lt;=amort_period),PPMT(AD$3/12,$B81,amort_period,loan_amount),0)</f>
        <v>8426474.5774798561</v>
      </c>
      <c r="AE81" s="149">
        <f ca="1">SUM(AC81,Model_Mthly!$AA81,-AD81)</f>
        <v>24751312.435688317</v>
      </c>
      <c r="AF81" s="149">
        <f>SUM(Model_Mthly!$Q81,-IF(AND(leveraged_property,B81&lt;=amort_period),-PMT(AF$3/12,amort_period,loan_amount),0))</f>
        <v>180701.25506081054</v>
      </c>
      <c r="AG81" s="149">
        <f>AG80+IF(AND(leveraged_property,$B81&lt;=amort_period),PPMT(AG$3/12,$B81,amort_period,loan_amount),0)</f>
        <v>8466216.7759571392</v>
      </c>
      <c r="AH81" s="149">
        <f ca="1">SUM(AF81,Model_Mthly!$AA81,-AG81)</f>
        <v>24710128.679992676</v>
      </c>
      <c r="AI81" s="149">
        <f>SUM(Model_Mthly!$Q81,-IF(AND(leveraged_property,B81&lt;=amort_period),-PMT(AI$3/12,amort_period,loan_amount),0))</f>
        <v>179239.95754348385</v>
      </c>
      <c r="AJ81" s="149">
        <f>AJ80+IF(AND(leveraged_property,$B81&lt;=amort_period),PPMT(AJ$3/12,$B81,amort_period,loan_amount),0)</f>
        <v>8504873.9342605285</v>
      </c>
      <c r="AK81" s="149">
        <f ca="1">SUM(AI81,Model_Mthly!$AA81,-AJ81)</f>
        <v>24670010.224171963</v>
      </c>
      <c r="AL81" s="229">
        <f>SUM(Model_Mthly!$Q81,-IF(AND(leveraged_property,B81&lt;=amort_period),-PMT(AL$3/12,amort_period,loan_amount),0))</f>
        <v>177759.35411899845</v>
      </c>
      <c r="AM81" s="229">
        <f>AM80+IF(AND(leveraged_property,$B81&lt;=amort_period),PPMT(AM$3/12,$B81,amort_period,loan_amount),0)</f>
        <v>8542452.7186106071</v>
      </c>
      <c r="AN81" s="229">
        <f ca="1">SUM(AL81,Model_Mthly!$AA81,-AM81)</f>
        <v>24630950.836397398</v>
      </c>
      <c r="AO81" s="149">
        <f>SUM(Model_Mthly!$Q81,-IF(AND(leveraged_property,B81&lt;=amort_period),-PMT(AO$3/12,amort_period,loan_amount),0))</f>
        <v>176259.88788482625</v>
      </c>
      <c r="AP81" s="162">
        <f>AP80+IF(AND(leveraged_property,$B81&lt;=amort_period),PPMT(AP$3/12,$B81,amort_period,loan_amount),0)</f>
        <v>8578961.1663981993</v>
      </c>
      <c r="AQ81" s="149">
        <f ca="1">SUM(AO81,Model_Mthly!$AA81,-AP81)</f>
        <v>24592942.922375634</v>
      </c>
      <c r="AR81" s="149">
        <f>SUM(Model_Mthly!$Q81,-IF(AND(leveraged_property,B81&lt;=amort_period),-PMT(AR$3/12,amort_period,loan_amount),0))</f>
        <v>174742.00935745158</v>
      </c>
      <c r="AS81" s="162">
        <f>AS80+IF(AND(leveraged_property,$B81&lt;=amort_period),PPMT(AS$3/12,$B81,amort_period,loan_amount),0)</f>
        <v>8614408.6196666416</v>
      </c>
      <c r="AT81" s="149">
        <f ca="1">SUM(AR81,Model_Mthly!$AA81,-AS81)</f>
        <v>24555977.590579815</v>
      </c>
      <c r="AU81" s="149">
        <f>SUM(Model_Mthly!$Q81,-IF(AND(leveraged_property,B81&lt;=amort_period),-PMT(AU$3/12,amort_period,loan_amount),0))</f>
        <v>173206.17520645628</v>
      </c>
      <c r="AV81" s="162">
        <f>AV80+IF(AND(leveraged_property,$B81&lt;=amort_period),PPMT(AV$3/12,$B81,amort_period,loan_amount),0)</f>
        <v>8648805.6560959592</v>
      </c>
      <c r="AW81" s="149">
        <f ca="1">SUM(AU81,Model_Mthly!$AA81,-AV81)</f>
        <v>24520044.719999503</v>
      </c>
      <c r="AX81" s="103"/>
      <c r="AY81" s="288">
        <f ca="1">IF(AND(leveraged_property,down_payment&gt;0),IRR(($AC$4:AC80,AE81),),"N/A")</f>
        <v>1.7508566733672019E-2</v>
      </c>
      <c r="AZ81" s="288">
        <f ca="1">IF(AND(leveraged_property,down_payment&gt;0),IRR(($AF$4:AF80,AH81),),"N/A")</f>
        <v>1.7399363670579159E-2</v>
      </c>
      <c r="BA81" s="288">
        <f ca="1">IF(AND(leveraged_property,down_payment&gt;0),IRR(($AI$4:AI80,AK81),),"N/A")</f>
        <v>1.7289280179227037E-2</v>
      </c>
      <c r="BB81" s="303">
        <f ca="1">IF(AND(leveraged_property,down_payment&gt;0),IRR(($AL$4:AL80,AN81),),"N/A")</f>
        <v>1.7178348333918323E-2</v>
      </c>
      <c r="BC81" s="288">
        <f ca="1">IF(AND(leveraged_property,down_payment&gt;0),IRR(($AO$4:AO80,AQ81),),"N/A")</f>
        <v>1.7066600263179594E-2</v>
      </c>
      <c r="BD81" s="288">
        <f ca="1">IF(AND(leveraged_property,down_payment&gt;0),IRR(($AR$4:AR80,AT81),),"N/A")</f>
        <v>1.6954068072284698E-2</v>
      </c>
      <c r="BE81" s="288">
        <f ca="1">IF(AND(leveraged_property,down_payment&gt;0),IRR(($AU$4:AU80,AW81),),"N/A")</f>
        <v>1.6840783768757871E-2</v>
      </c>
      <c r="BF81" s="103"/>
      <c r="BG81" s="290">
        <f ca="1">IF(AND(leveraged_property,down_payment&gt;0),((1+AY81)^12)-1,"N/A")</f>
        <v>0.23156373638360805</v>
      </c>
      <c r="BH81" s="290">
        <f ca="1">IF(AND(leveraged_property,down_payment&gt;0),((1+AZ81)^12)-1,"N/A")</f>
        <v>0.22997855652911947</v>
      </c>
      <c r="BI81" s="290">
        <f ca="1">IF(AND(leveraged_property,down_payment&gt;0),((1+BA81)^12)-1,"N/A")</f>
        <v>0.22838248965161112</v>
      </c>
      <c r="BJ81" s="305">
        <f ca="1">IF(AND(leveraged_property,down_payment&gt;0),((1+BB81)^12)-1,"N/A")</f>
        <v>0.22677604347852243</v>
      </c>
      <c r="BK81" s="290">
        <f ca="1">IF(AND(leveraged_property,down_payment&gt;0),((1+BC81)^12)-1,"N/A")</f>
        <v>0.22515972454449584</v>
      </c>
      <c r="BL81" s="290">
        <f ca="1">IF(AND(leveraged_property,down_payment&gt;0),((1+BD81)^12)-1,"N/A")</f>
        <v>0.22353403703065711</v>
      </c>
      <c r="BM81" s="290">
        <f ca="1">IF(AND(leveraged_property,down_payment&gt;0),((1+BE81)^12)-1,"N/A")</f>
        <v>0.22189948165690465</v>
      </c>
    </row>
    <row r="82" spans="1:65">
      <c r="A82" s="137">
        <f>Model_Mthly!A82</f>
        <v>42536</v>
      </c>
      <c r="B82" s="138">
        <f>Model_Mthly!B82</f>
        <v>78</v>
      </c>
      <c r="C82" s="223"/>
      <c r="D82" s="139">
        <f>Model_Mthly!AQ82</f>
        <v>169332.06937011925</v>
      </c>
      <c r="E82" s="231">
        <f>IF(OR($H$3&lt;=0.0075,$H$3=""),0,SUM(Model_Mthly!AQ82,(SUM(Model_Mthly!Q83:Q94)/$E$3)*(1-cost_of_sale),-Model_Mthly!V82))</f>
        <v>28045065.263491981</v>
      </c>
      <c r="F82" s="231">
        <f>IF(OR($H$3&lt;=0.0075,$H$3=""),0,SUM(Model_Mthly!AQ82,(SUM(Model_Mthly!Q83:Q94)/$F$3)*(1-cost_of_sale),-Model_Mthly!V82))</f>
        <v>26831618.634628713</v>
      </c>
      <c r="G82" s="231">
        <f>IF(OR($H$3&lt;=0.0075,$H$3=""),0,SUM(Model_Mthly!AQ82,(SUM(Model_Mthly!Q83:Q94)/$G$3)*(1-cost_of_sale),-Model_Mthly!V82))</f>
        <v>25696458.885046937</v>
      </c>
      <c r="H82" s="232">
        <f>IF(OR($H$3&lt;=0.0075,$H$3=""),0,SUM(Model_Mthly!AQ82,(SUM(Model_Mthly!Q83:Q94)/$H$3)*(1-cost_of_sale),-Model_Mthly!V82))</f>
        <v>24632246.619814023</v>
      </c>
      <c r="I82" s="231">
        <f>IF(OR($H$3&lt;=0.0075,$H$3=""),0,SUM(Model_Mthly!AQ82,(SUM(Model_Mthly!Q83:Q94)/$I$3)*(1-cost_of_sale),-Model_Mthly!V82))</f>
        <v>23632532.067625538</v>
      </c>
      <c r="J82" s="231">
        <f>IF(OR($H$3&lt;=0.0075,$H$3=""),0,SUM(Model_Mthly!AQ82,(SUM(Model_Mthly!Q83:Q94)/$J$3)*(1-cost_of_sale),-Model_Mthly!V82))</f>
        <v>22691624.253801078</v>
      </c>
      <c r="K82" s="231">
        <f>IF(OR($H$3&lt;=0.0075,$H$3=""),0,SUM(Model_Mthly!AQ82,(SUM(Model_Mthly!Q83:Q94)/$K$3)*(1-cost_of_sale),-Model_Mthly!V82))</f>
        <v>21804482.600766584</v>
      </c>
      <c r="L82" s="160"/>
      <c r="M82" s="302">
        <f>IF(OR($H$3&lt;=0.0075,$H$3="",down_payment&lt;=0),"N/A",IRR(($D$4:D81,E82),))</f>
        <v>1.837969859070902E-2</v>
      </c>
      <c r="N82" s="288">
        <f>IF(OR($H$3&lt;=0.0075,$H$3="",down_payment&lt;=0),"N/A",IRR(($D$4:D81,F82),))</f>
        <v>1.7934007895396498E-2</v>
      </c>
      <c r="O82" s="288">
        <f>IF(OR($H$3&lt;=0.0075,$H$3="",down_payment&lt;=0),"N/A",IRR(($D$4:D81,G82),))</f>
        <v>1.7501741530038611E-2</v>
      </c>
      <c r="P82" s="303">
        <f>IF(OR($H$3&lt;=0.0075,$H$3="",down_payment&lt;=0),"N/A",IRR(($D$4:D81,H82),))</f>
        <v>1.7082011792590973E-2</v>
      </c>
      <c r="Q82" s="288">
        <f>IF(OR($H$3&lt;=0.0075,$H$3="",down_payment&lt;=0),"N/A",IRR(($D$4:D81,I82),))</f>
        <v>1.6674013570258009E-2</v>
      </c>
      <c r="R82" s="288">
        <f>IF(OR($H$3&lt;=0.0075,$H$3="",down_payment&lt;=0),"N/A",IRR(($D$4:D81,J82),))</f>
        <v>1.627701439147115E-2</v>
      </c>
      <c r="S82" s="288">
        <f>IF(OR($H$3&lt;=0.0075,$H$3="",down_payment&lt;=0),"N/A",IRR(($D$4:D81,K82),))</f>
        <v>1.5890345928284706E-2</v>
      </c>
      <c r="T82" s="233"/>
      <c r="U82" s="304">
        <f t="shared" si="18"/>
        <v>0.24427620746924839</v>
      </c>
      <c r="V82" s="304">
        <f t="shared" si="19"/>
        <v>0.23775727064454943</v>
      </c>
      <c r="W82" s="304">
        <f t="shared" si="20"/>
        <v>0.23146460762779486</v>
      </c>
      <c r="X82" s="305">
        <f t="shared" si="21"/>
        <v>0.22538252008784765</v>
      </c>
      <c r="Y82" s="304">
        <f t="shared" si="22"/>
        <v>0.21949683171622114</v>
      </c>
      <c r="Z82" s="304">
        <f t="shared" si="23"/>
        <v>0.21379469937572648</v>
      </c>
      <c r="AA82" s="304">
        <f t="shared" si="24"/>
        <v>0.2082644524556978</v>
      </c>
      <c r="AB82" s="103"/>
      <c r="AC82" s="149">
        <f>SUM(Model_Mthly!$Q82,-IF(AND(leveraged_property,B82&lt;=amort_period),-PMT(AC$3/12,amort_period,loan_amount),0))</f>
        <v>173715.52753028835</v>
      </c>
      <c r="AD82" s="149">
        <f>AD81+IF(AND(leveraged_property,$B82&lt;=amort_period),PPMT(AD$3/12,$B82,amort_period,loan_amount),0)</f>
        <v>8410272.8757145852</v>
      </c>
      <c r="AE82" s="149">
        <f ca="1">SUM(AC82,Model_Mthly!$AA82,-AD82)</f>
        <v>24754022.874035884</v>
      </c>
      <c r="AF82" s="149">
        <f>SUM(Model_Mthly!$Q82,-IF(AND(leveraged_property,B82&lt;=amort_period),-PMT(AF$3/12,amort_period,loan_amount),0))</f>
        <v>172273.97031193133</v>
      </c>
      <c r="AG82" s="149">
        <f>AG81+IF(AND(leveraged_property,$B82&lt;=amort_period),PPMT(AG$3/12,$B82,amort_period,loan_amount),0)</f>
        <v>8450494.6250041407</v>
      </c>
      <c r="AH82" s="149">
        <f ca="1">SUM(AF82,Model_Mthly!$AA82,-AG82)</f>
        <v>24712359.567527972</v>
      </c>
      <c r="AI82" s="149">
        <f>SUM(Model_Mthly!$Q82,-IF(AND(leveraged_property,B82&lt;=amort_period),-PMT(AI$3/12,amort_period,loan_amount),0))</f>
        <v>170812.67279460464</v>
      </c>
      <c r="AJ82" s="149">
        <f>AJ81+IF(AND(leveraged_property,$B82&lt;=amort_period),PPMT(AJ$3/12,$B82,amort_period,loan_amount),0)</f>
        <v>8489623.4060194381</v>
      </c>
      <c r="AK82" s="149">
        <f ca="1">SUM(AI82,Model_Mthly!$AA82,-AJ82)</f>
        <v>24671769.488995343</v>
      </c>
      <c r="AL82" s="229">
        <f>SUM(Model_Mthly!$Q82,-IF(AND(leveraged_property,B82&lt;=amort_period),-PMT(AL$3/12,amort_period,loan_amount),0))</f>
        <v>169332.06937011925</v>
      </c>
      <c r="AM82" s="229">
        <f>AM81+IF(AND(leveraged_property,$B82&lt;=amort_period),PPMT(AM$3/12,$B82,amort_period,loan_amount),0)</f>
        <v>8527665.6717762742</v>
      </c>
      <c r="AN82" s="229">
        <f ca="1">SUM(AL82,Model_Mthly!$AA82,-AM82)</f>
        <v>24632246.619814023</v>
      </c>
      <c r="AO82" s="149">
        <f>SUM(Model_Mthly!$Q82,-IF(AND(leveraged_property,B82&lt;=amort_period),-PMT(AO$3/12,amort_period,loan_amount),0))</f>
        <v>167832.60313594705</v>
      </c>
      <c r="AP82" s="162">
        <f>AP81+IF(AND(leveraged_property,$B82&lt;=amort_period),PPMT(AP$3/12,$B82,amort_period,loan_amount),0)</f>
        <v>8564629.2672917191</v>
      </c>
      <c r="AQ82" s="149">
        <f ca="1">SUM(AO82,Model_Mthly!$AA82,-AP82)</f>
        <v>24593783.558064409</v>
      </c>
      <c r="AR82" s="149">
        <f>SUM(Model_Mthly!$Q82,-IF(AND(leveraged_property,B82&lt;=amort_period),-PMT(AR$3/12,amort_period,loan_amount),0))</f>
        <v>166314.72460857237</v>
      </c>
      <c r="AS82" s="162">
        <f>AS81+IF(AND(leveraged_property,$B82&lt;=amort_period),PPMT(AS$3/12,$B82,amort_period,loan_amount),0)</f>
        <v>8600523.3628754634</v>
      </c>
      <c r="AT82" s="149">
        <f ca="1">SUM(AR82,Model_Mthly!$AA82,-AS82)</f>
        <v>24556371.583953291</v>
      </c>
      <c r="AU82" s="149">
        <f>SUM(Model_Mthly!$Q82,-IF(AND(leveraged_property,B82&lt;=amort_period),-PMT(AU$3/12,amort_period,loan_amount),0))</f>
        <v>164778.89045757707</v>
      </c>
      <c r="AV82" s="162">
        <f>AV81+IF(AND(leveraged_property,$B82&lt;=amort_period),PPMT(AV$3/12,$B82,amort_period,loan_amount),0)</f>
        <v>8635358.3848476186</v>
      </c>
      <c r="AW82" s="149">
        <f ca="1">SUM(AU82,Model_Mthly!$AA82,-AV82)</f>
        <v>24520000.727830138</v>
      </c>
      <c r="AX82" s="103"/>
      <c r="AY82" s="288">
        <f ca="1">IF(AND(leveraged_property,down_payment&gt;0),IRR(($AC$4:AC81,AE82),),"N/A")</f>
        <v>1.7411895109079562E-2</v>
      </c>
      <c r="AZ82" s="288">
        <f ca="1">IF(AND(leveraged_property,down_payment&gt;0),IRR(($AF$4:AF81,AH82),),"N/A")</f>
        <v>1.7302808520175426E-2</v>
      </c>
      <c r="BA82" s="288">
        <f ca="1">IF(AND(leveraged_property,down_payment&gt;0),IRR(($AI$4:AI81,AK82),),"N/A")</f>
        <v>1.7192836671285912E-2</v>
      </c>
      <c r="BB82" s="303">
        <f ca="1">IF(AND(leveraged_property,down_payment&gt;0),IRR(($AL$4:AL81,AN82),),"N/A")</f>
        <v>1.7082011792590973E-2</v>
      </c>
      <c r="BC82" s="288">
        <f ca="1">IF(AND(leveraged_property,down_payment&gt;0),IRR(($AO$4:AO81,AQ82),),"N/A")</f>
        <v>1.6970366173096284E-2</v>
      </c>
      <c r="BD82" s="288">
        <f ca="1">IF(AND(leveraged_property,down_payment&gt;0),IRR(($AR$4:AR81,AT82),),"N/A")</f>
        <v>1.685793208258142E-2</v>
      </c>
      <c r="BE82" s="288">
        <f ca="1">IF(AND(leveraged_property,down_payment&gt;0),IRR(($AU$4:AU81,AW82),),"N/A")</f>
        <v>1.6744741696529713E-2</v>
      </c>
      <c r="BF82" s="103"/>
      <c r="BG82" s="290">
        <f ca="1">IF(AND(leveraged_property,down_payment&gt;0),((1+AY82)^12)-1,"N/A")</f>
        <v>0.23016036648969029</v>
      </c>
      <c r="BH82" s="290">
        <f ca="1">IF(AND(leveraged_property,down_payment&gt;0),((1+AZ82)^12)-1,"N/A")</f>
        <v>0.22857853055726229</v>
      </c>
      <c r="BI82" s="290">
        <f ca="1">IF(AND(leveraged_property,down_payment&gt;0),((1+BA82)^12)-1,"N/A")</f>
        <v>0.22698574520133707</v>
      </c>
      <c r="BJ82" s="305">
        <f ca="1">IF(AND(leveraged_property,down_payment&gt;0),((1+BB82)^12)-1,"N/A")</f>
        <v>0.22538252008784765</v>
      </c>
      <c r="BK82" s="290">
        <f ca="1">IF(AND(leveraged_property,down_payment&gt;0),((1+BC82)^12)-1,"N/A")</f>
        <v>0.22376936375223377</v>
      </c>
      <c r="BL82" s="290">
        <f ca="1">IF(AND(leveraged_property,down_payment&gt;0),((1+BD82)^12)-1,"N/A")</f>
        <v>0.22214678243081232</v>
      </c>
      <c r="BM82" s="290">
        <f ca="1">IF(AND(leveraged_property,down_payment&gt;0),((1+BE82)^12)-1,"N/A")</f>
        <v>0.22051527894516121</v>
      </c>
    </row>
    <row r="83" spans="1:65">
      <c r="A83" s="137">
        <f>Model_Mthly!A83</f>
        <v>42566</v>
      </c>
      <c r="B83" s="138">
        <f>Model_Mthly!B83</f>
        <v>79</v>
      </c>
      <c r="C83" s="223"/>
      <c r="D83" s="139">
        <f>Model_Mthly!AQ83</f>
        <v>167442.67210217234</v>
      </c>
      <c r="E83" s="231">
        <f>IF(OR($H$3&lt;=0.0075,$H$3=""),0,SUM(Model_Mthly!AQ83,(SUM(Model_Mthly!Q84:Q95)/$E$3)*(1-cost_of_sale),-Model_Mthly!V83))</f>
        <v>28045564.36958931</v>
      </c>
      <c r="F83" s="231">
        <f>IF(OR($H$3&lt;=0.0075,$H$3=""),0,SUM(Model_Mthly!AQ83,(SUM(Model_Mthly!Q84:Q95)/$F$3)*(1-cost_of_sale),-Model_Mthly!V83))</f>
        <v>26832533.284640502</v>
      </c>
      <c r="G83" s="231">
        <f>IF(OR($H$3&lt;=0.0075,$H$3=""),0,SUM(Model_Mthly!AQ83,(SUM(Model_Mthly!Q84:Q95)/$G$3)*(1-cost_of_sale),-Model_Mthly!V83))</f>
        <v>25697762.269688379</v>
      </c>
      <c r="H83" s="232">
        <f>IF(OR($H$3&lt;=0.0075,$H$3=""),0,SUM(Model_Mthly!AQ83,(SUM(Model_Mthly!Q84:Q95)/$H$3)*(1-cost_of_sale),-Model_Mthly!V83))</f>
        <v>24633914.443170764</v>
      </c>
      <c r="I83" s="231">
        <f>IF(OR($H$3&lt;=0.0075,$H$3=""),0,SUM(Model_Mthly!AQ83,(SUM(Model_Mthly!Q84:Q95)/$I$3)*(1-cost_of_sale),-Model_Mthly!V83))</f>
        <v>23634542.242502708</v>
      </c>
      <c r="J83" s="231">
        <f>IF(OR($H$3&lt;=0.0075,$H$3=""),0,SUM(Model_Mthly!AQ83,(SUM(Model_Mthly!Q84:Q95)/$J$3)*(1-cost_of_sale),-Model_Mthly!V83))</f>
        <v>22693956.641873948</v>
      </c>
      <c r="K83" s="231">
        <f>IF(OR($H$3&lt;=0.0075,$H$3=""),0,SUM(Model_Mthly!AQ83,(SUM(Model_Mthly!Q84:Q95)/$K$3)*(1-cost_of_sale),-Model_Mthly!V83))</f>
        <v>21807118.789852545</v>
      </c>
      <c r="L83" s="160"/>
      <c r="M83" s="302">
        <f>IF(OR($H$3&lt;=0.0075,$H$3="",down_payment&lt;=0),"N/A",IRR(($D$4:D82,E83),))</f>
        <v>1.8258980309003029E-2</v>
      </c>
      <c r="N83" s="288">
        <f>IF(OR($H$3&lt;=0.0075,$H$3="",down_payment&lt;=0),"N/A",IRR(($D$4:D82,F83),))</f>
        <v>1.782141625943744E-2</v>
      </c>
      <c r="O83" s="288">
        <f>IF(OR($H$3&lt;=0.0075,$H$3="",down_payment&lt;=0),"N/A",IRR(($D$4:D82,G83),))</f>
        <v>1.7397094658177438E-2</v>
      </c>
      <c r="P83" s="303">
        <f>IF(OR($H$3&lt;=0.0075,$H$3="",down_payment&lt;=0),"N/A",IRR(($D$4:D82,H83),))</f>
        <v>1.6985140626807685E-2</v>
      </c>
      <c r="Q83" s="288">
        <f>IF(OR($H$3&lt;=0.0075,$H$3="",down_payment&lt;=0),"N/A",IRR(($D$4:D82,I83),))</f>
        <v>1.6584760715652586E-2</v>
      </c>
      <c r="R83" s="288">
        <f>IF(OR($H$3&lt;=0.0075,$H$3="",down_payment&lt;=0),"N/A",IRR(($D$4:D82,J83),))</f>
        <v>1.6195233095488603E-2</v>
      </c>
      <c r="S83" s="288">
        <f>IF(OR($H$3&lt;=0.0075,$H$3="",down_payment&lt;=0),"N/A",IRR(($D$4:D82,K83),))</f>
        <v>1.5815899179391794E-2</v>
      </c>
      <c r="T83" s="233"/>
      <c r="U83" s="304">
        <f t="shared" si="18"/>
        <v>0.24250740950983052</v>
      </c>
      <c r="V83" s="304">
        <f t="shared" si="19"/>
        <v>0.23611539956018279</v>
      </c>
      <c r="W83" s="304">
        <f t="shared" si="20"/>
        <v>0.22994563963376002</v>
      </c>
      <c r="X83" s="305">
        <f t="shared" si="21"/>
        <v>0.22398272653078011</v>
      </c>
      <c r="Y83" s="304">
        <f t="shared" si="22"/>
        <v>0.21821275009330154</v>
      </c>
      <c r="Z83" s="304">
        <f t="shared" si="23"/>
        <v>0.21262310801265749</v>
      </c>
      <c r="AA83" s="304">
        <f t="shared" si="24"/>
        <v>0.20720234829000872</v>
      </c>
      <c r="AB83" s="103"/>
      <c r="AC83" s="149">
        <f>SUM(Model_Mthly!$Q83,-IF(AND(leveraged_property,B83&lt;=amort_period),-PMT(AC$3/12,amort_period,loan_amount),0))</f>
        <v>171826.13026234144</v>
      </c>
      <c r="AD83" s="149">
        <f>AD82+IF(AND(leveraged_property,$B83&lt;=amort_period),PPMT(AD$3/12,$B83,amort_period,loan_amount),0)</f>
        <v>8394007.0422131587</v>
      </c>
      <c r="AE83" s="149">
        <f ca="1">SUM(AC83,Model_Mthly!$AA83,-AD83)</f>
        <v>24757101.710095055</v>
      </c>
      <c r="AF83" s="149">
        <f>SUM(Model_Mthly!$Q83,-IF(AND(leveraged_property,B83&lt;=amort_period),-PMT(AF$3/12,amort_period,loan_amount),0))</f>
        <v>170384.57304398442</v>
      </c>
      <c r="AG83" s="149">
        <f>AG82+IF(AND(leveraged_property,$B83&lt;=amort_period),PPMT(AG$3/12,$B83,amort_period,loan_amount),0)</f>
        <v>8434706.9650888387</v>
      </c>
      <c r="AH83" s="149">
        <f ca="1">SUM(AF83,Model_Mthly!$AA83,-AG83)</f>
        <v>24714960.230001017</v>
      </c>
      <c r="AI83" s="149">
        <f>SUM(Model_Mthly!$Q83,-IF(AND(leveraged_property,B83&lt;=amort_period),-PMT(AI$3/12,amort_period,loan_amount),0))</f>
        <v>168923.27552665773</v>
      </c>
      <c r="AJ83" s="149">
        <f>AJ82+IF(AND(leveraged_property,$B83&lt;=amort_period),PPMT(AJ$3/12,$B83,amort_period,loan_amount),0)</f>
        <v>8474306.156717293</v>
      </c>
      <c r="AK83" s="149">
        <f ca="1">SUM(AI83,Model_Mthly!$AA83,-AJ83)</f>
        <v>24673899.740855239</v>
      </c>
      <c r="AL83" s="229">
        <f>SUM(Model_Mthly!$Q83,-IF(AND(leveraged_property,B83&lt;=amort_period),-PMT(AL$3/12,amort_period,loan_amount),0))</f>
        <v>167442.67210217234</v>
      </c>
      <c r="AM83" s="229">
        <f>AM82+IF(AND(leveraged_property,$B83&lt;=amort_period),PPMT(AM$3/12,$B83,amort_period,loan_amount),0)</f>
        <v>8512810.850977283</v>
      </c>
      <c r="AN83" s="229">
        <f ca="1">SUM(AL83,Model_Mthly!$AA83,-AM83)</f>
        <v>24633914.443170764</v>
      </c>
      <c r="AO83" s="149">
        <f>SUM(Model_Mthly!$Q83,-IF(AND(leveraged_property,B83&lt;=amort_period),-PMT(AO$3/12,amort_period,loan_amount),0))</f>
        <v>165943.20586800014</v>
      </c>
      <c r="AP83" s="162">
        <f>AP82+IF(AND(leveraged_property,$B83&lt;=amort_period),PPMT(AP$3/12,$B83,amort_period,loan_amount),0)</f>
        <v>8550228.6945020203</v>
      </c>
      <c r="AQ83" s="149">
        <f ca="1">SUM(AO83,Model_Mthly!$AA83,-AP83)</f>
        <v>24594997.133411855</v>
      </c>
      <c r="AR83" s="149">
        <f>SUM(Model_Mthly!$Q83,-IF(AND(leveraged_property,B83&lt;=amort_period),-PMT(AR$3/12,amort_period,loan_amount),0))</f>
        <v>164425.32734062546</v>
      </c>
      <c r="AS83" s="162">
        <f>AS82+IF(AND(leveraged_property,$B83&lt;=amort_period),PPMT(AS$3/12,$B83,amort_period,loan_amount),0)</f>
        <v>8586568.6798003279</v>
      </c>
      <c r="AT83" s="149">
        <f ca="1">SUM(AR83,Model_Mthly!$AA83,-AS83)</f>
        <v>24557139.269586172</v>
      </c>
      <c r="AU83" s="149">
        <f>SUM(Model_Mthly!$Q83,-IF(AND(leveraged_property,B83&lt;=amort_period),-PMT(AU$3/12,amort_period,loan_amount),0))</f>
        <v>162889.49318963016</v>
      </c>
      <c r="AV83" s="162">
        <f>AV82+IF(AND(leveraged_property,$B83&lt;=amort_period),PPMT(AV$3/12,$B83,amort_period,loan_amount),0)</f>
        <v>8621841.0757281929</v>
      </c>
      <c r="AW83" s="149">
        <f ca="1">SUM(AU83,Model_Mthly!$AA83,-AV83)</f>
        <v>24520331.039507311</v>
      </c>
      <c r="AX83" s="103"/>
      <c r="AY83" s="288">
        <f ca="1">IF(AND(leveraged_property,down_payment&gt;0),IRR(($AC$4:AC82,AE83),),"N/A")</f>
        <v>1.7314740623577813E-2</v>
      </c>
      <c r="AZ83" s="288">
        <f ca="1">IF(AND(leveraged_property,down_payment&gt;0),IRR(($AF$4:AF82,AH83),),"N/A")</f>
        <v>1.7205753333174697E-2</v>
      </c>
      <c r="BA83" s="288">
        <f ca="1">IF(AND(leveraged_property,down_payment&gt;0),IRR(($AI$4:AI82,AK83),),"N/A")</f>
        <v>1.7095875872022995E-2</v>
      </c>
      <c r="BB83" s="303">
        <f ca="1">IF(AND(leveraged_property,down_payment&gt;0),IRR(($AL$4:AL82,AN83),),"N/A")</f>
        <v>1.6985140626807685E-2</v>
      </c>
      <c r="BC83" s="288">
        <f ca="1">IF(AND(leveraged_property,down_payment&gt;0),IRR(($AO$4:AO82,AQ83),),"N/A")</f>
        <v>1.687358004769229E-2</v>
      </c>
      <c r="BD83" s="288">
        <f ca="1">IF(AND(leveraged_property,down_payment&gt;0),IRR(($AR$4:AR82,AT83),),"N/A")</f>
        <v>1.6761226569691617E-2</v>
      </c>
      <c r="BE83" s="288">
        <f ca="1">IF(AND(leveraged_property,down_payment&gt;0),IRR(($AU$4:AU82,AW83),),"N/A")</f>
        <v>1.6648112537024556E-2</v>
      </c>
      <c r="BF83" s="103"/>
      <c r="BG83" s="290">
        <f ca="1">IF(AND(leveraged_property,down_payment&gt;0),((1+AY83)^12)-1,"N/A")</f>
        <v>0.22875146398479274</v>
      </c>
      <c r="BH83" s="290">
        <f ca="1">IF(AND(leveraged_property,down_payment&gt;0),((1+AZ83)^12)-1,"N/A")</f>
        <v>0.22717272646623643</v>
      </c>
      <c r="BI83" s="290">
        <f ca="1">IF(AND(leveraged_property,down_payment&gt;0),((1+BA83)^12)-1,"N/A")</f>
        <v>0.22558297677630912</v>
      </c>
      <c r="BJ83" s="305">
        <f ca="1">IF(AND(leveraged_property,down_payment&gt;0),((1+BB83)^12)-1,"N/A")</f>
        <v>0.22398272653078011</v>
      </c>
      <c r="BK83" s="290">
        <f ca="1">IF(AND(leveraged_property,down_payment&gt;0),((1+BC83)^12)-1,"N/A")</f>
        <v>0.22237248627751938</v>
      </c>
      <c r="BL83" s="290">
        <f ca="1">IF(AND(leveraged_property,down_payment&gt;0),((1+BD83)^12)-1,"N/A")</f>
        <v>0.2207527643199747</v>
      </c>
      <c r="BM83" s="290">
        <f ca="1">IF(AND(leveraged_property,down_payment&gt;0),((1+BE83)^12)-1,"N/A")</f>
        <v>0.21912406559359554</v>
      </c>
    </row>
    <row r="84" spans="1:65">
      <c r="A84" s="137">
        <f>Model_Mthly!A84</f>
        <v>42597</v>
      </c>
      <c r="B84" s="138">
        <f>Model_Mthly!B84</f>
        <v>80</v>
      </c>
      <c r="C84" s="223"/>
      <c r="D84" s="139">
        <f>Model_Mthly!AQ84</f>
        <v>183453.28970223045</v>
      </c>
      <c r="E84" s="231">
        <f>IF(OR($H$3&lt;=0.0075,$H$3=""),0,SUM(Model_Mthly!AQ84,(SUM(Model_Mthly!Q85:Q96)/$E$3)*(1-cost_of_sale),-Model_Mthly!V84))</f>
        <v>28076052.126007996</v>
      </c>
      <c r="F84" s="231">
        <f>IF(OR($H$3&lt;=0.0075,$H$3=""),0,SUM(Model_Mthly!AQ84,(SUM(Model_Mthly!Q85:Q96)/$F$3)*(1-cost_of_sale),-Model_Mthly!V84))</f>
        <v>26863035.899945036</v>
      </c>
      <c r="G84" s="231">
        <f>IF(OR($H$3&lt;=0.0075,$H$3=""),0,SUM(Model_Mthly!AQ84,(SUM(Model_Mthly!Q85:Q96)/$G$3)*(1-cost_of_sale),-Model_Mthly!V84))</f>
        <v>25728278.785240978</v>
      </c>
      <c r="H84" s="232">
        <f>IF(OR($H$3&lt;=0.0075,$H$3=""),0,SUM(Model_Mthly!AQ84,(SUM(Model_Mthly!Q85:Q96)/$H$3)*(1-cost_of_sale),-Model_Mthly!V84))</f>
        <v>24664443.990205921</v>
      </c>
      <c r="I84" s="231">
        <f>IF(OR($H$3&lt;=0.0075,$H$3=""),0,SUM(Model_Mthly!AQ84,(SUM(Model_Mthly!Q85:Q96)/$I$3)*(1-cost_of_sale),-Model_Mthly!V84))</f>
        <v>23665084.031233598</v>
      </c>
      <c r="J84" s="231">
        <f>IF(OR($H$3&lt;=0.0075,$H$3=""),0,SUM(Model_Mthly!AQ84,(SUM(Model_Mthly!Q85:Q96)/$J$3)*(1-cost_of_sale),-Model_Mthly!V84))</f>
        <v>22724509.952200823</v>
      </c>
      <c r="K84" s="231">
        <f>IF(OR($H$3&lt;=0.0075,$H$3=""),0,SUM(Model_Mthly!AQ84,(SUM(Model_Mthly!Q85:Q96)/$K$3)*(1-cost_of_sale),-Model_Mthly!V84))</f>
        <v>21837682.96339849</v>
      </c>
      <c r="L84" s="160"/>
      <c r="M84" s="302">
        <f>IF(OR($H$3&lt;=0.0075,$H$3="",down_payment&lt;=0),"N/A",IRR(($D$4:D83,E84),))</f>
        <v>1.8151310758637976E-2</v>
      </c>
      <c r="N84" s="288">
        <f>IF(OR($H$3&lt;=0.0075,$H$3="",down_payment&lt;=0),"N/A",IRR(($D$4:D83,F84),))</f>
        <v>1.7721874208253555E-2</v>
      </c>
      <c r="O84" s="288">
        <f>IF(OR($H$3&lt;=0.0075,$H$3="",down_payment&lt;=0),"N/A",IRR(($D$4:D83,G84),))</f>
        <v>1.7305503982402576E-2</v>
      </c>
      <c r="P84" s="303">
        <f>IF(OR($H$3&lt;=0.0075,$H$3="",down_payment&lt;=0),"N/A",IRR(($D$4:D83,H84),))</f>
        <v>1.6901337721553996E-2</v>
      </c>
      <c r="Q84" s="288">
        <f>IF(OR($H$3&lt;=0.0075,$H$3="",down_payment&lt;=0),"N/A",IRR(($D$4:D83,I84),))</f>
        <v>1.650859336438721E-2</v>
      </c>
      <c r="R84" s="288">
        <f>IF(OR($H$3&lt;=0.0075,$H$3="",down_payment&lt;=0),"N/A",IRR(($D$4:D83,J84),))</f>
        <v>1.612655947563741E-2</v>
      </c>
      <c r="S84" s="288">
        <f>IF(OR($H$3&lt;=0.0075,$H$3="",down_payment&lt;=0),"N/A",IRR(($D$4:D83,K84),))</f>
        <v>1.5754586984317861E-2</v>
      </c>
      <c r="T84" s="233"/>
      <c r="U84" s="304">
        <f t="shared" si="18"/>
        <v>0.24093175016520552</v>
      </c>
      <c r="V84" s="304">
        <f t="shared" si="19"/>
        <v>0.23466548746662141</v>
      </c>
      <c r="W84" s="304">
        <f t="shared" si="20"/>
        <v>0.22861759426872608</v>
      </c>
      <c r="X84" s="305">
        <f t="shared" si="21"/>
        <v>0.22277295271130759</v>
      </c>
      <c r="Y84" s="304">
        <f t="shared" si="22"/>
        <v>0.21711791001788217</v>
      </c>
      <c r="Z84" s="304">
        <f t="shared" si="23"/>
        <v>0.21164009683029805</v>
      </c>
      <c r="AA84" s="304">
        <f t="shared" si="24"/>
        <v>0.20632827266330356</v>
      </c>
      <c r="AB84" s="103"/>
      <c r="AC84" s="149">
        <f>SUM(Model_Mthly!$Q84,-IF(AND(leveraged_property,B84&lt;=amort_period),-PMT(AC$3/12,amort_period,loan_amount),0))</f>
        <v>187836.74786239956</v>
      </c>
      <c r="AD84" s="149">
        <f>AD83+IF(AND(leveraged_property,$B84&lt;=amort_period),PPMT(AD$3/12,$B84,amort_period,loan_amount),0)</f>
        <v>8377676.8231207896</v>
      </c>
      <c r="AE84" s="149">
        <f ca="1">SUM(AC84,Model_Mthly!$AA84,-AD84)</f>
        <v>24789038.570828266</v>
      </c>
      <c r="AF84" s="149">
        <f>SUM(Model_Mthly!$Q84,-IF(AND(leveraged_property,B84&lt;=amort_period),-PMT(AF$3/12,amort_period,loan_amount),0))</f>
        <v>186395.19064404257</v>
      </c>
      <c r="AG84" s="149">
        <f>AG83+IF(AND(leveraged_property,$B84&lt;=amort_period),PPMT(AG$3/12,$B84,amort_period,loan_amount),0)</f>
        <v>8418853.523257222</v>
      </c>
      <c r="AH84" s="149">
        <f ca="1">SUM(AF84,Model_Mthly!$AA84,-AG84)</f>
        <v>24746420.313473474</v>
      </c>
      <c r="AI84" s="149">
        <f>SUM(Model_Mthly!$Q84,-IF(AND(leveraged_property,B84&lt;=amort_period),-PMT(AI$3/12,amort_period,loan_amount),0))</f>
        <v>184933.89312671585</v>
      </c>
      <c r="AJ84" s="149">
        <f>AJ83+IF(AND(leveraged_property,$B84&lt;=amort_period),PPMT(AJ$3/12,$B84,amort_period,loan_amount),0)</f>
        <v>8458921.8944494519</v>
      </c>
      <c r="AK84" s="149">
        <f ca="1">SUM(AI84,Model_Mthly!$AA84,-AJ84)</f>
        <v>24704890.644763917</v>
      </c>
      <c r="AL84" s="229">
        <f>SUM(Model_Mthly!$Q84,-IF(AND(leveraged_property,B84&lt;=amort_period),-PMT(AL$3/12,amort_period,loan_amount),0))</f>
        <v>183453.28970223045</v>
      </c>
      <c r="AM84" s="229">
        <f>AM83+IF(AND(leveraged_property,$B84&lt;=amort_period),PPMT(AM$3/12,$B84,amort_period,loan_amount),0)</f>
        <v>8497887.9455829635</v>
      </c>
      <c r="AN84" s="229">
        <f ca="1">SUM(AL84,Model_Mthly!$AA84,-AM84)</f>
        <v>24664443.990205921</v>
      </c>
      <c r="AO84" s="149">
        <f>SUM(Model_Mthly!$Q84,-IF(AND(leveraged_property,B84&lt;=amort_period),-PMT(AO$3/12,amort_period,loan_amount),0))</f>
        <v>181953.82346805825</v>
      </c>
      <c r="AP84" s="162">
        <f>AP83+IF(AND(leveraged_property,$B84&lt;=amort_period),PPMT(AP$3/12,$B84,amort_period,loan_amount),0)</f>
        <v>8535759.1189677045</v>
      </c>
      <c r="AQ84" s="149">
        <f ca="1">SUM(AO84,Model_Mthly!$AA84,-AP84)</f>
        <v>24625073.35058701</v>
      </c>
      <c r="AR84" s="149">
        <f>SUM(Model_Mthly!$Q84,-IF(AND(leveraged_property,B84&lt;=amort_period),-PMT(AR$3/12,amort_period,loan_amount),0))</f>
        <v>180435.94494068358</v>
      </c>
      <c r="AS84" s="162">
        <f>AS83+IF(AND(leveraged_property,$B84&lt;=amort_period),PPMT(AS$3/12,$B84,amort_period,loan_amount),0)</f>
        <v>8572544.2233098168</v>
      </c>
      <c r="AT84" s="149">
        <f ca="1">SUM(AR84,Model_Mthly!$AA84,-AS84)</f>
        <v>24586770.367717519</v>
      </c>
      <c r="AU84" s="149">
        <f>SUM(Model_Mthly!$Q84,-IF(AND(leveraged_property,B84&lt;=amort_period),-PMT(AU$3/12,amort_period,loan_amount),0))</f>
        <v>178900.1107896883</v>
      </c>
      <c r="AV84" s="162">
        <f>AV83+IF(AND(leveraged_property,$B84&lt;=amort_period),PPMT(AV$3/12,$B84,amort_period,loan_amount),0)</f>
        <v>8608253.3639571033</v>
      </c>
      <c r="AW84" s="149">
        <f ca="1">SUM(AU84,Model_Mthly!$AA84,-AV84)</f>
        <v>24549525.392919239</v>
      </c>
      <c r="AX84" s="103"/>
      <c r="AY84" s="288">
        <f ca="1">IF(AND(leveraged_property,down_payment&gt;0),IRR(($AC$4:AC83,AE84),),"N/A")</f>
        <v>1.723050907995417E-2</v>
      </c>
      <c r="AZ84" s="288">
        <f ca="1">IF(AND(leveraged_property,down_payment&gt;0),IRR(($AF$4:AF83,AH84),),"N/A")</f>
        <v>1.7121669131527909E-2</v>
      </c>
      <c r="BA84" s="288">
        <f ca="1">IF(AND(leveraged_property,down_payment&gt;0),IRR(($AI$4:AI83,AK84),),"N/A")</f>
        <v>1.7011934502556444E-2</v>
      </c>
      <c r="BB84" s="303">
        <f ca="1">IF(AND(leveraged_property,down_payment&gt;0),IRR(($AL$4:AL83,AN84),),"N/A")</f>
        <v>1.6901337721553996E-2</v>
      </c>
      <c r="BC84" s="288">
        <f ca="1">IF(AND(leveraged_property,down_payment&gt;0),IRR(($AO$4:AO83,AQ84),),"N/A")</f>
        <v>1.6789911385245382E-2</v>
      </c>
      <c r="BD84" s="288">
        <f ca="1">IF(AND(leveraged_property,down_payment&gt;0),IRR(($AR$4:AR83,AT84),),"N/A")</f>
        <v>1.6677688079395309E-2</v>
      </c>
      <c r="BE84" s="288">
        <f ca="1">IF(AND(leveraged_property,down_payment&gt;0),IRR(($AU$4:AU83,AW84),),"N/A")</f>
        <v>1.6564700302622949E-2</v>
      </c>
      <c r="BF84" s="103"/>
      <c r="BG84" s="290">
        <f ca="1">IF(AND(leveraged_property,down_payment&gt;0),((1+AY84)^12)-1,"N/A")</f>
        <v>0.22753116302343446</v>
      </c>
      <c r="BH84" s="290">
        <f ca="1">IF(AND(leveraged_property,down_payment&gt;0),((1+AZ84)^12)-1,"N/A")</f>
        <v>0.2259559939918776</v>
      </c>
      <c r="BI84" s="290">
        <f ca="1">IF(AND(leveraged_property,down_payment&gt;0),((1+BA84)^12)-1,"N/A")</f>
        <v>0.22436975276033433</v>
      </c>
      <c r="BJ84" s="305">
        <f ca="1">IF(AND(leveraged_property,down_payment&gt;0),((1+BB84)^12)-1,"N/A")</f>
        <v>0.22277295271130759</v>
      </c>
      <c r="BK84" s="290">
        <f ca="1">IF(AND(leveraged_property,down_payment&gt;0),((1+BC84)^12)-1,"N/A")</f>
        <v>0.2211661062247483</v>
      </c>
      <c r="BL84" s="290">
        <f ca="1">IF(AND(leveraged_property,down_payment&gt;0),((1+BD84)^12)-1,"N/A")</f>
        <v>0.21954972349393764</v>
      </c>
      <c r="BM84" s="290">
        <f ca="1">IF(AND(leveraged_property,down_payment&gt;0),((1+BE84)^12)-1,"N/A")</f>
        <v>0.21792431139446311</v>
      </c>
    </row>
    <row r="85" spans="1:65">
      <c r="A85" s="137">
        <f>Model_Mthly!A85</f>
        <v>42628</v>
      </c>
      <c r="B85" s="138">
        <f>Model_Mthly!B85</f>
        <v>81</v>
      </c>
      <c r="C85" s="223"/>
      <c r="D85" s="139">
        <f>Model_Mthly!AQ85</f>
        <v>183453.28970223045</v>
      </c>
      <c r="E85" s="231">
        <f>IF(OR($H$3&lt;=0.0075,$H$3=""),0,SUM(Model_Mthly!AQ85,(SUM(Model_Mthly!Q86:Q97)/$E$3)*(1-cost_of_sale),-Model_Mthly!V85))</f>
        <v>28090597.661476336</v>
      </c>
      <c r="F85" s="231">
        <f>IF(OR($H$3&lt;=0.0075,$H$3=""),0,SUM(Model_Mthly!AQ85,(SUM(Model_Mthly!Q86:Q97)/$F$3)*(1-cost_of_sale),-Model_Mthly!V85))</f>
        <v>26877596.294299237</v>
      </c>
      <c r="G85" s="231">
        <f>IF(OR($H$3&lt;=0.0075,$H$3=""),0,SUM(Model_Mthly!AQ85,(SUM(Model_Mthly!Q86:Q97)/$G$3)*(1-cost_of_sale),-Model_Mthly!V85))</f>
        <v>25742853.079843238</v>
      </c>
      <c r="H85" s="232">
        <f>IF(OR($H$3&lt;=0.0075,$H$3=""),0,SUM(Model_Mthly!AQ85,(SUM(Model_Mthly!Q86:Q97)/$H$3)*(1-cost_of_sale),-Model_Mthly!V85))</f>
        <v>24679031.316290744</v>
      </c>
      <c r="I85" s="231">
        <f>IF(OR($H$3&lt;=0.0075,$H$3=""),0,SUM(Model_Mthly!AQ85,(SUM(Model_Mthly!Q86:Q97)/$I$3)*(1-cost_of_sale),-Model_Mthly!V85))</f>
        <v>23679683.599014148</v>
      </c>
      <c r="J85" s="231">
        <f>IF(OR($H$3&lt;=0.0075,$H$3=""),0,SUM(Model_Mthly!AQ85,(SUM(Model_Mthly!Q86:Q97)/$J$3)*(1-cost_of_sale),-Model_Mthly!V85))</f>
        <v>22739121.041577362</v>
      </c>
      <c r="K85" s="231">
        <f>IF(OR($H$3&lt;=0.0075,$H$3=""),0,SUM(Model_Mthly!AQ85,(SUM(Model_Mthly!Q86:Q97)/$K$3)*(1-cost_of_sale),-Model_Mthly!V85))</f>
        <v>21852304.9159941</v>
      </c>
      <c r="L85" s="160"/>
      <c r="M85" s="302">
        <f>IF(OR($H$3&lt;=0.0075,$H$3="",down_payment&lt;=0),"N/A",IRR(($D$4:D84,E85),))</f>
        <v>1.8046561977910075E-2</v>
      </c>
      <c r="N85" s="288">
        <f>IF(OR($H$3&lt;=0.0075,$H$3="",down_payment&lt;=0),"N/A",IRR(($D$4:D84,F85),))</f>
        <v>1.7625036268332755E-2</v>
      </c>
      <c r="O85" s="288">
        <f>IF(OR($H$3&lt;=0.0075,$H$3="",down_payment&lt;=0),"N/A",IRR(($D$4:D84,G85),))</f>
        <v>1.7216404338926364E-2</v>
      </c>
      <c r="P85" s="303">
        <f>IF(OR($H$3&lt;=0.0075,$H$3="",down_payment&lt;=0),"N/A",IRR(($D$4:D84,H85),))</f>
        <v>1.6819816026238804E-2</v>
      </c>
      <c r="Q85" s="288">
        <f>IF(OR($H$3&lt;=0.0075,$H$3="",down_payment&lt;=0),"N/A",IRR(($D$4:D84,I85),))</f>
        <v>1.643450036214357E-2</v>
      </c>
      <c r="R85" s="288">
        <f>IF(OR($H$3&lt;=0.0075,$H$3="",down_payment&lt;=0),"N/A",IRR(($D$4:D84,J85),))</f>
        <v>1.6059756034399797E-2</v>
      </c>
      <c r="S85" s="288">
        <f>IF(OR($H$3&lt;=0.0075,$H$3="",down_payment&lt;=0),"N/A",IRR(($D$4:D84,K85),))</f>
        <v>1.5694943238323104E-2</v>
      </c>
      <c r="T85" s="233"/>
      <c r="U85" s="304">
        <f t="shared" si="18"/>
        <v>0.23940059196485808</v>
      </c>
      <c r="V85" s="304">
        <f t="shared" si="19"/>
        <v>0.23325645915692661</v>
      </c>
      <c r="W85" s="304">
        <f t="shared" si="20"/>
        <v>0.22732692980003599</v>
      </c>
      <c r="X85" s="305">
        <f t="shared" si="21"/>
        <v>0.2215971621358257</v>
      </c>
      <c r="Y85" s="304">
        <f t="shared" si="22"/>
        <v>0.21605375244699254</v>
      </c>
      <c r="Z85" s="304">
        <f t="shared" si="23"/>
        <v>0.21068455680080134</v>
      </c>
      <c r="AA85" s="304">
        <f t="shared" si="24"/>
        <v>0.20547853939745875</v>
      </c>
      <c r="AB85" s="103"/>
      <c r="AC85" s="149">
        <f>SUM(Model_Mthly!$Q85,-IF(AND(leveraged_property,B85&lt;=amort_period),-PMT(AC$3/12,amort_period,loan_amount),0))</f>
        <v>187836.74786239956</v>
      </c>
      <c r="AD85" s="149">
        <f>AD84+IF(AND(leveraged_property,$B85&lt;=amort_period),PPMT(AD$3/12,$B85,amort_period,loan_amount),0)</f>
        <v>8361281.963577847</v>
      </c>
      <c r="AE85" s="149">
        <f ca="1">SUM(AC85,Model_Mthly!$AA85,-AD85)</f>
        <v>24805029.454411987</v>
      </c>
      <c r="AF85" s="149">
        <f>SUM(Model_Mthly!$Q85,-IF(AND(leveraged_property,B85&lt;=amort_period),-PMT(AF$3/12,amort_period,loan_amount),0))</f>
        <v>186395.19064404257</v>
      </c>
      <c r="AG85" s="149">
        <f>AG84+IF(AND(leveraged_property,$B85&lt;=amort_period),PPMT(AG$3/12,$B85,amort_period,loan_amount),0)</f>
        <v>8402934.0254179742</v>
      </c>
      <c r="AH85" s="149">
        <f ca="1">SUM(AF85,Model_Mthly!$AA85,-AG85)</f>
        <v>24761935.835353501</v>
      </c>
      <c r="AI85" s="149">
        <f>SUM(Model_Mthly!$Q85,-IF(AND(leveraged_property,B85&lt;=amort_period),-PMT(AI$3/12,amort_period,loan_amount),0))</f>
        <v>184933.89312671585</v>
      </c>
      <c r="AJ85" s="149">
        <f>AJ84+IF(AND(leveraged_property,$B85&lt;=amort_period),PPMT(AJ$3/12,$B85,amort_period,loan_amount),0)</f>
        <v>8443470.3260341883</v>
      </c>
      <c r="AK85" s="149">
        <f ca="1">SUM(AI85,Model_Mthly!$AA85,-AJ85)</f>
        <v>24719938.237219963</v>
      </c>
      <c r="AL85" s="229">
        <f>SUM(Model_Mthly!$Q85,-IF(AND(leveraged_property,B85&lt;=amort_period),-PMT(AL$3/12,amort_period,loan_amount),0))</f>
        <v>183453.28970223045</v>
      </c>
      <c r="AM85" s="229">
        <f>AM84+IF(AND(leveraged_property,$B85&lt;=amort_period),PPMT(AM$3/12,$B85,amort_period,loan_amount),0)</f>
        <v>8482896.6435389202</v>
      </c>
      <c r="AN85" s="229">
        <f ca="1">SUM(AL85,Model_Mthly!$AA85,-AM85)</f>
        <v>24679031.316290744</v>
      </c>
      <c r="AO85" s="149">
        <f>SUM(Model_Mthly!$Q85,-IF(AND(leveraged_property,B85&lt;=amort_period),-PMT(AO$3/12,amort_period,loan_amount),0))</f>
        <v>181953.82346805825</v>
      </c>
      <c r="AP85" s="162">
        <f>AP84+IF(AND(leveraged_property,$B85&lt;=amort_period),PPMT(AP$3/12,$B85,amort_period,loan_amount),0)</f>
        <v>8521220.2100506201</v>
      </c>
      <c r="AQ85" s="149">
        <f ca="1">SUM(AO85,Model_Mthly!$AA85,-AP85)</f>
        <v>24639208.283544876</v>
      </c>
      <c r="AR85" s="149">
        <f>SUM(Model_Mthly!$Q85,-IF(AND(leveraged_property,B85&lt;=amort_period),-PMT(AR$3/12,amort_period,loan_amount),0))</f>
        <v>180435.94494068358</v>
      </c>
      <c r="AS85" s="162">
        <f>AS84+IF(AND(leveraged_property,$B85&lt;=amort_period),PPMT(AS$3/12,$B85,amort_period,loan_amount),0)</f>
        <v>8558449.6445368547</v>
      </c>
      <c r="AT85" s="149">
        <f ca="1">SUM(AR85,Model_Mthly!$AA85,-AS85)</f>
        <v>24600460.970531262</v>
      </c>
      <c r="AU85" s="149">
        <f>SUM(Model_Mthly!$Q85,-IF(AND(leveraged_property,B85&lt;=amort_period),-PMT(AU$3/12,amort_period,loan_amount),0))</f>
        <v>178900.1107896883</v>
      </c>
      <c r="AV85" s="162">
        <f>AV84+IF(AND(leveraged_property,$B85&lt;=amort_period),PPMT(AV$3/12,$B85,amort_period,loan_amount),0)</f>
        <v>8594594.8828538731</v>
      </c>
      <c r="AW85" s="149">
        <f ca="1">SUM(AU85,Model_Mthly!$AA85,-AV85)</f>
        <v>24562779.89806325</v>
      </c>
      <c r="AX85" s="103"/>
      <c r="AY85" s="288">
        <f ca="1">IF(AND(leveraged_property,down_payment&gt;0),IRR(($AC$4:AC84,AE85),),"N/A")</f>
        <v>1.7148566264329097E-2</v>
      </c>
      <c r="AZ85" s="288">
        <f ca="1">IF(AND(leveraged_property,down_payment&gt;0),IRR(($AF$4:AF84,AH85),),"N/A")</f>
        <v>1.7039871121080248E-2</v>
      </c>
      <c r="BA85" s="288">
        <f ca="1">IF(AND(leveraged_property,down_payment&gt;0),IRR(($AI$4:AI84,AK85),),"N/A")</f>
        <v>1.6930276819234556E-2</v>
      </c>
      <c r="BB85" s="303">
        <f ca="1">IF(AND(leveraged_property,down_payment&gt;0),IRR(($AL$4:AL84,AN85),),"N/A")</f>
        <v>1.6819816026238804E-2</v>
      </c>
      <c r="BC85" s="288">
        <f ca="1">IF(AND(leveraged_property,down_payment&gt;0),IRR(($AO$4:AO84,AQ85),),"N/A")</f>
        <v>1.6708521482527008E-2</v>
      </c>
      <c r="BD85" s="288">
        <f ca="1">IF(AND(leveraged_property,down_payment&gt;0),IRR(($AR$4:AR84,AT85),),"N/A")</f>
        <v>1.6596425921819431E-2</v>
      </c>
      <c r="BE85" s="288">
        <f ca="1">IF(AND(leveraged_property,down_payment&gt;0),IRR(($AU$4:AU84,AW85),),"N/A")</f>
        <v>1.6483561994399865E-2</v>
      </c>
      <c r="BF85" s="103"/>
      <c r="BG85" s="290">
        <f ca="1">IF(AND(leveraged_property,down_payment&gt;0),((1+AY85)^12)-1,"N/A")</f>
        <v>0.22634508605715875</v>
      </c>
      <c r="BH85" s="290">
        <f ca="1">IF(AND(leveraged_property,down_payment&gt;0),((1+AZ85)^12)-1,"N/A")</f>
        <v>0.22477340488345843</v>
      </c>
      <c r="BI85" s="290">
        <f ca="1">IF(AND(leveraged_property,down_payment&gt;0),((1+BA85)^12)-1,"N/A")</f>
        <v>0.22319059187130952</v>
      </c>
      <c r="BJ85" s="305">
        <f ca="1">IF(AND(leveraged_property,down_payment&gt;0),((1+BB85)^12)-1,"N/A")</f>
        <v>0.2215971621358257</v>
      </c>
      <c r="BK85" s="290">
        <f ca="1">IF(AND(leveraged_property,down_payment&gt;0),((1+BC85)^12)-1,"N/A")</f>
        <v>0.21999362985561088</v>
      </c>
      <c r="BL85" s="290">
        <f ca="1">IF(AND(leveraged_property,down_payment&gt;0),((1+BD85)^12)-1,"N/A")</f>
        <v>0.21838050708120971</v>
      </c>
      <c r="BM85" s="290">
        <f ca="1">IF(AND(leveraged_property,down_payment&gt;0),((1+BE85)^12)-1,"N/A")</f>
        <v>0.2167583025965929</v>
      </c>
    </row>
    <row r="86" spans="1:65">
      <c r="A86" s="137">
        <f>Model_Mthly!A86</f>
        <v>42658</v>
      </c>
      <c r="B86" s="138">
        <f>Model_Mthly!B86</f>
        <v>82</v>
      </c>
      <c r="C86" s="223"/>
      <c r="D86" s="139">
        <f>Model_Mthly!AQ86</f>
        <v>183453.28970223045</v>
      </c>
      <c r="E86" s="231">
        <f>IF(OR($H$3&lt;=0.0075,$H$3=""),0,SUM(Model_Mthly!AQ86,(SUM(Model_Mthly!Q87:Q98)/$E$3)*(1-cost_of_sale),-Model_Mthly!V86))</f>
        <v>28105211.907079063</v>
      </c>
      <c r="F86" s="231">
        <f>IF(OR($H$3&lt;=0.0075,$H$3=""),0,SUM(Model_Mthly!AQ86,(SUM(Model_Mthly!Q87:Q98)/$F$3)*(1-cost_of_sale),-Model_Mthly!V86))</f>
        <v>26892225.398787819</v>
      </c>
      <c r="G86" s="231">
        <f>IF(OR($H$3&lt;=0.0075,$H$3=""),0,SUM(Model_Mthly!AQ86,(SUM(Model_Mthly!Q87:Q98)/$G$3)*(1-cost_of_sale),-Model_Mthly!V86))</f>
        <v>25757496.084579878</v>
      </c>
      <c r="H86" s="232">
        <f>IF(OR($H$3&lt;=0.0075,$H$3=""),0,SUM(Model_Mthly!AQ86,(SUM(Model_Mthly!Q87:Q98)/$H$3)*(1-cost_of_sale),-Model_Mthly!V86))</f>
        <v>24693687.352509938</v>
      </c>
      <c r="I86" s="231">
        <f>IF(OR($H$3&lt;=0.0075,$H$3=""),0,SUM(Model_Mthly!AQ86,(SUM(Model_Mthly!Q87:Q98)/$I$3)*(1-cost_of_sale),-Model_Mthly!V86))</f>
        <v>23694351.876929078</v>
      </c>
      <c r="J86" s="231">
        <f>IF(OR($H$3&lt;=0.0075,$H$3=""),0,SUM(Model_Mthly!AQ86,(SUM(Model_Mthly!Q87:Q98)/$J$3)*(1-cost_of_sale),-Model_Mthly!V86))</f>
        <v>22753800.841088273</v>
      </c>
      <c r="K86" s="231">
        <f>IF(OR($H$3&lt;=0.0075,$H$3=""),0,SUM(Model_Mthly!AQ86,(SUM(Model_Mthly!Q87:Q98)/$K$3)*(1-cost_of_sale),-Model_Mthly!V86))</f>
        <v>21866995.578724086</v>
      </c>
      <c r="L86" s="160"/>
      <c r="M86" s="302">
        <f>IF(OR($H$3&lt;=0.0075,$H$3="",down_payment&lt;=0),"N/A",IRR(($D$4:D85,E86),))</f>
        <v>1.7944621470959116E-2</v>
      </c>
      <c r="N86" s="288">
        <f>IF(OR($H$3&lt;=0.0075,$H$3="",down_payment&lt;=0),"N/A",IRR(($D$4:D85,F86),))</f>
        <v>1.7530798089308734E-2</v>
      </c>
      <c r="O86" s="288">
        <f>IF(OR($H$3&lt;=0.0075,$H$3="",down_payment&lt;=0),"N/A",IRR(($D$4:D85,G86),))</f>
        <v>1.7129699414240723E-2</v>
      </c>
      <c r="P86" s="303">
        <f>IF(OR($H$3&lt;=0.0075,$H$3="",down_payment&lt;=0),"N/A",IRR(($D$4:D85,H86),))</f>
        <v>1.6740487168581855E-2</v>
      </c>
      <c r="Q86" s="288">
        <f>IF(OR($H$3&lt;=0.0075,$H$3="",down_payment&lt;=0),"N/A",IRR(($D$4:D85,I86),))</f>
        <v>1.6362401194242388E-2</v>
      </c>
      <c r="R86" s="288">
        <f>IF(OR($H$3&lt;=0.0075,$H$3="",down_payment&lt;=0),"N/A",IRR(($D$4:D85,J86),))</f>
        <v>1.5994750042200072E-2</v>
      </c>
      <c r="S86" s="288">
        <f>IF(OR($H$3&lt;=0.0075,$H$3="",down_payment&lt;=0),"N/A",IRR(($D$4:D85,K86),))</f>
        <v>1.5636902934808593E-2</v>
      </c>
      <c r="T86" s="233"/>
      <c r="U86" s="304">
        <f t="shared" si="18"/>
        <v>0.23791214650412718</v>
      </c>
      <c r="V86" s="304">
        <f t="shared" si="19"/>
        <v>0.23188667367589488</v>
      </c>
      <c r="W86" s="304">
        <f t="shared" si="20"/>
        <v>0.22607214765599393</v>
      </c>
      <c r="X86" s="305">
        <f t="shared" si="21"/>
        <v>0.22045399398370757</v>
      </c>
      <c r="Y86" s="304">
        <f t="shared" si="22"/>
        <v>0.21501905006905986</v>
      </c>
      <c r="Z86" s="304">
        <f t="shared" si="23"/>
        <v>0.20975539023265499</v>
      </c>
      <c r="AA86" s="304">
        <f t="shared" si="24"/>
        <v>0.20465217685250692</v>
      </c>
      <c r="AB86" s="103"/>
      <c r="AC86" s="149">
        <f>SUM(Model_Mthly!$Q86,-IF(AND(leveraged_property,B86&lt;=amort_period),-PMT(AC$3/12,amort_period,loan_amount),0))</f>
        <v>187836.74786239956</v>
      </c>
      <c r="AD86" s="149">
        <f>AD85+IF(AND(leveraged_property,$B86&lt;=amort_period),PPMT(AD$3/12,$B86,amort_period,loan_amount),0)</f>
        <v>8344822.2077158801</v>
      </c>
      <c r="AE86" s="149">
        <f ca="1">SUM(AC86,Model_Mthly!$AA86,-AD86)</f>
        <v>24821085.234314736</v>
      </c>
      <c r="AF86" s="149">
        <f>SUM(Model_Mthly!$Q86,-IF(AND(leveraged_property,B86&lt;=amort_period),-PMT(AF$3/12,amort_period,loan_amount),0))</f>
        <v>186395.19064404257</v>
      </c>
      <c r="AG86" s="149">
        <f>AG85+IF(AND(leveraged_property,$B86&lt;=amort_period),PPMT(AG$3/12,$B86,amort_period,loan_amount),0)</f>
        <v>8386948.1963377297</v>
      </c>
      <c r="AH86" s="149">
        <f ca="1">SUM(AF86,Model_Mthly!$AA86,-AG86)</f>
        <v>24777517.688474528</v>
      </c>
      <c r="AI86" s="149">
        <f>SUM(Model_Mthly!$Q86,-IF(AND(leveraged_property,B86&lt;=amort_period),-PMT(AI$3/12,amort_period,loan_amount),0))</f>
        <v>184933.89312671585</v>
      </c>
      <c r="AJ86" s="149">
        <f>AJ85+IF(AND(leveraged_property,$B86&lt;=amort_period),PPMT(AJ$3/12,$B86,amort_period,loan_amount),0)</f>
        <v>8427951.1570071075</v>
      </c>
      <c r="AK86" s="149">
        <f ca="1">SUM(AI86,Model_Mthly!$AA86,-AJ86)</f>
        <v>24735053.430287823</v>
      </c>
      <c r="AL86" s="229">
        <f>SUM(Model_Mthly!$Q86,-IF(AND(leveraged_property,B86&lt;=amort_period),-PMT(AL$3/12,amort_period,loan_amount),0))</f>
        <v>183453.28970223045</v>
      </c>
      <c r="AM86" s="229">
        <f>AM85+IF(AND(leveraged_property,$B86&lt;=amort_period),PPMT(AM$3/12,$B86,amort_period,loan_amount),0)</f>
        <v>8467836.6313605085</v>
      </c>
      <c r="AN86" s="229">
        <f ca="1">SUM(AL86,Model_Mthly!$AA86,-AM86)</f>
        <v>24693687.352509938</v>
      </c>
      <c r="AO86" s="149">
        <f>SUM(Model_Mthly!$Q86,-IF(AND(leveraged_property,B86&lt;=amort_period),-PMT(AO$3/12,amort_period,loan_amount),0))</f>
        <v>181953.82346805825</v>
      </c>
      <c r="AP86" s="162">
        <f>AP85+IF(AND(leveraged_property,$B86&lt;=amort_period),PPMT(AP$3/12,$B86,amort_period,loan_amount),0)</f>
        <v>8506611.6355283093</v>
      </c>
      <c r="AQ86" s="149">
        <f ca="1">SUM(AO86,Model_Mthly!$AA86,-AP86)</f>
        <v>24653412.882107966</v>
      </c>
      <c r="AR86" s="149">
        <f>SUM(Model_Mthly!$Q86,-IF(AND(leveraged_property,B86&lt;=amort_period),-PMT(AR$3/12,amort_period,loan_amount),0))</f>
        <v>180435.94494068358</v>
      </c>
      <c r="AS86" s="162">
        <f>AS85+IF(AND(leveraged_property,$B86&lt;=amort_period),PPMT(AS$3/12,$B86,amort_period,loan_amount),0)</f>
        <v>8544284.5928700268</v>
      </c>
      <c r="AT86" s="149">
        <f ca="1">SUM(AR86,Model_Mthly!$AA86,-AS86)</f>
        <v>24614222.046238873</v>
      </c>
      <c r="AU86" s="149">
        <f>SUM(Model_Mthly!$Q86,-IF(AND(leveraged_property,B86&lt;=amort_period),-PMT(AU$3/12,amort_period,loan_amount),0))</f>
        <v>178900.1107896883</v>
      </c>
      <c r="AV86" s="162">
        <f>AV85+IF(AND(leveraged_property,$B86&lt;=amort_period),PPMT(AV$3/12,$B86,amort_period,loan_amount),0)</f>
        <v>8580865.2638282292</v>
      </c>
      <c r="AW86" s="149">
        <f ca="1">SUM(AU86,Model_Mthly!$AA86,-AV86)</f>
        <v>24576105.541129675</v>
      </c>
      <c r="AX86" s="103"/>
      <c r="AY86" s="288">
        <f ca="1">IF(AND(leveraged_property,down_payment&gt;0),IRR(($AC$4:AC85,AE86),),"N/A")</f>
        <v>1.7068823615164652E-2</v>
      </c>
      <c r="AZ86" s="288">
        <f ca="1">IF(AND(leveraged_property,down_payment&gt;0),IRR(($AF$4:AF85,AH86),),"N/A")</f>
        <v>1.6960270802996051E-2</v>
      </c>
      <c r="BA86" s="288">
        <f ca="1">IF(AND(leveraged_property,down_payment&gt;0),IRR(($AI$4:AI85,AK86),),"N/A")</f>
        <v>1.6850814386296282E-2</v>
      </c>
      <c r="BB86" s="303">
        <f ca="1">IF(AND(leveraged_property,down_payment&gt;0),IRR(($AL$4:AL85,AN86),),"N/A")</f>
        <v>1.6740487168581855E-2</v>
      </c>
      <c r="BC86" s="288">
        <f ca="1">IF(AND(leveraged_property,down_payment&gt;0),IRR(($AO$4:AO85,AQ86),),"N/A")</f>
        <v>1.6629322031180855E-2</v>
      </c>
      <c r="BD86" s="288">
        <f ca="1">IF(AND(leveraged_property,down_payment&gt;0),IRR(($AR$4:AR85,AT86),),"N/A")</f>
        <v>1.6517351853003018E-2</v>
      </c>
      <c r="BE86" s="288">
        <f ca="1">IF(AND(leveraged_property,down_payment&gt;0),IRR(($AU$4:AU85,AW86),),"N/A")</f>
        <v>1.6404609433292115E-2</v>
      </c>
      <c r="BF86" s="103"/>
      <c r="BG86" s="290">
        <f ca="1">IF(AND(leveraged_property,down_payment&gt;0),((1+AY86)^12)-1,"N/A")</f>
        <v>0.2251918639625734</v>
      </c>
      <c r="BH86" s="290">
        <f ca="1">IF(AND(leveraged_property,down_payment&gt;0),((1+AZ86)^12)-1,"N/A")</f>
        <v>0.2236235927773631</v>
      </c>
      <c r="BI86" s="290">
        <f ca="1">IF(AND(leveraged_property,down_payment&gt;0),((1+BA86)^12)-1,"N/A")</f>
        <v>0.22204413051311844</v>
      </c>
      <c r="BJ86" s="305">
        <f ca="1">IF(AND(leveraged_property,down_payment&gt;0),((1+BB86)^12)-1,"N/A")</f>
        <v>0.22045399398370757</v>
      </c>
      <c r="BK86" s="290">
        <f ca="1">IF(AND(leveraged_property,down_payment&gt;0),((1+BC86)^12)-1,"N/A")</f>
        <v>0.21885369913320285</v>
      </c>
      <c r="BL86" s="290">
        <f ca="1">IF(AND(leveraged_property,down_payment&gt;0),((1+BD86)^12)-1,"N/A")</f>
        <v>0.21724375983698785</v>
      </c>
      <c r="BM86" s="290">
        <f ca="1">IF(AND(leveraged_property,down_payment&gt;0),((1+BE86)^12)-1,"N/A")</f>
        <v>0.21562468675586244</v>
      </c>
    </row>
    <row r="87" spans="1:65">
      <c r="A87" s="137">
        <f>Model_Mthly!A87</f>
        <v>42689</v>
      </c>
      <c r="B87" s="138">
        <f>Model_Mthly!B87</f>
        <v>83</v>
      </c>
      <c r="C87" s="223"/>
      <c r="D87" s="139">
        <f>Model_Mthly!AQ87</f>
        <v>183453.28970223045</v>
      </c>
      <c r="E87" s="231">
        <f>IF(OR($H$3&lt;=0.0075,$H$3=""),0,SUM(Model_Mthly!AQ87,(SUM(Model_Mthly!Q88:Q99)/$E$3)*(1-cost_of_sale),-Model_Mthly!V87))</f>
        <v>28119895.177737601</v>
      </c>
      <c r="F87" s="231">
        <f>IF(OR($H$3&lt;=0.0075,$H$3=""),0,SUM(Model_Mthly!AQ87,(SUM(Model_Mthly!Q88:Q99)/$F$3)*(1-cost_of_sale),-Model_Mthly!V87))</f>
        <v>26906923.528332211</v>
      </c>
      <c r="G87" s="231">
        <f>IF(OR($H$3&lt;=0.0075,$H$3=""),0,SUM(Model_Mthly!AQ87,(SUM(Model_Mthly!Q88:Q99)/$G$3)*(1-cost_of_sale),-Model_Mthly!V87))</f>
        <v>25772208.114372328</v>
      </c>
      <c r="H87" s="232">
        <f>IF(OR($H$3&lt;=0.0075,$H$3=""),0,SUM(Model_Mthly!AQ87,(SUM(Model_Mthly!Q88:Q99)/$H$3)*(1-cost_of_sale),-Model_Mthly!V87))</f>
        <v>24708412.413784936</v>
      </c>
      <c r="I87" s="231">
        <f>IF(OR($H$3&lt;=0.0075,$H$3=""),0,SUM(Model_Mthly!AQ87,(SUM(Model_Mthly!Q88:Q99)/$I$3)*(1-cost_of_sale),-Model_Mthly!V87))</f>
        <v>23709089.179899819</v>
      </c>
      <c r="J87" s="231">
        <f>IF(OR($H$3&lt;=0.0075,$H$3=""),0,SUM(Model_Mthly!AQ87,(SUM(Model_Mthly!Q88:Q99)/$J$3)*(1-cost_of_sale),-Model_Mthly!V87))</f>
        <v>22768549.665655002</v>
      </c>
      <c r="K87" s="231">
        <f>IF(OR($H$3&lt;=0.0075,$H$3=""),0,SUM(Model_Mthly!AQ87,(SUM(Model_Mthly!Q88:Q99)/$K$3)*(1-cost_of_sale),-Model_Mthly!V87))</f>
        <v>21881755.266509883</v>
      </c>
      <c r="L87" s="160"/>
      <c r="M87" s="302">
        <f>IF(OR($H$3&lt;=0.0075,$H$3="",down_payment&lt;=0),"N/A",IRR(($D$4:D86,E87),))</f>
        <v>1.7845382403049535E-2</v>
      </c>
      <c r="N87" s="288">
        <f>IF(OR($H$3&lt;=0.0075,$H$3="",down_payment&lt;=0),"N/A",IRR(($D$4:D86,F87),))</f>
        <v>1.7439060583042378E-2</v>
      </c>
      <c r="O87" s="288">
        <f>IF(OR($H$3&lt;=0.0075,$H$3="",down_payment&lt;=0),"N/A",IRR(($D$4:D86,G87),))</f>
        <v>1.7045297762296657E-2</v>
      </c>
      <c r="P87" s="303">
        <f>IF(OR($H$3&lt;=0.0075,$H$3="",down_payment&lt;=0),"N/A",IRR(($D$4:D86,H87),))</f>
        <v>1.6663267252415466E-2</v>
      </c>
      <c r="Q87" s="288">
        <f>IF(OR($H$3&lt;=0.0075,$H$3="",down_payment&lt;=0),"N/A",IRR(($D$4:D86,I87),))</f>
        <v>1.6292219433527572E-2</v>
      </c>
      <c r="R87" s="288">
        <f>IF(OR($H$3&lt;=0.0075,$H$3="",down_payment&lt;=0),"N/A",IRR(($D$4:D86,J87),))</f>
        <v>1.5931472470530908E-2</v>
      </c>
      <c r="S87" s="288">
        <f>IF(OR($H$3&lt;=0.0075,$H$3="",down_payment&lt;=0),"N/A",IRR(($D$4:D86,K87),))</f>
        <v>1.5580404383333345E-2</v>
      </c>
      <c r="T87" s="233"/>
      <c r="U87" s="304">
        <f t="shared" si="18"/>
        <v>0.23646471926142842</v>
      </c>
      <c r="V87" s="304">
        <f t="shared" si="19"/>
        <v>0.23055457612130037</v>
      </c>
      <c r="W87" s="304">
        <f t="shared" si="20"/>
        <v>0.2248518277781395</v>
      </c>
      <c r="X87" s="305">
        <f t="shared" si="21"/>
        <v>0.21934215867203877</v>
      </c>
      <c r="Y87" s="304">
        <f t="shared" si="22"/>
        <v>0.21401263977539497</v>
      </c>
      <c r="Z87" s="304">
        <f t="shared" si="23"/>
        <v>0.20885155682180656</v>
      </c>
      <c r="AA87" s="304">
        <f t="shared" si="24"/>
        <v>0.20384826416053037</v>
      </c>
      <c r="AB87" s="103"/>
      <c r="AC87" s="149">
        <f>SUM(Model_Mthly!$Q87,-IF(AND(leveraged_property,B87&lt;=amort_period),-PMT(AC$3/12,amort_period,loan_amount),0))</f>
        <v>187836.74786239956</v>
      </c>
      <c r="AD87" s="149">
        <f>AD86+IF(AND(leveraged_property,$B87&lt;=amort_period),PPMT(AD$3/12,$B87,amort_period,loan_amount),0)</f>
        <v>8328297.2986536259</v>
      </c>
      <c r="AE87" s="149">
        <f ca="1">SUM(AC87,Model_Mthly!$AA87,-AD87)</f>
        <v>24837206.167417761</v>
      </c>
      <c r="AF87" s="149">
        <f>SUM(Model_Mthly!$Q87,-IF(AND(leveraged_property,B87&lt;=amort_period),-PMT(AF$3/12,amort_period,loan_amount),0))</f>
        <v>186395.19064404257</v>
      </c>
      <c r="AG87" s="149">
        <f>AG86+IF(AND(leveraged_property,$B87&lt;=amort_period),PPMT(AG$3/12,$B87,amort_period,loan_amount),0)</f>
        <v>8370895.7596363174</v>
      </c>
      <c r="AH87" s="149">
        <f ca="1">SUM(AF87,Model_Mthly!$AA87,-AG87)</f>
        <v>24793166.149216715</v>
      </c>
      <c r="AI87" s="149">
        <f>SUM(Model_Mthly!$Q87,-IF(AND(leveraged_property,B87&lt;=amort_period),-PMT(AI$3/12,amort_period,loan_amount),0))</f>
        <v>184933.89312671585</v>
      </c>
      <c r="AJ87" s="149">
        <f>AJ86+IF(AND(leveraged_property,$B87&lt;=amort_period),PPMT(AJ$3/12,$B87,amort_period,loan_amount),0)</f>
        <v>8412364.0916155335</v>
      </c>
      <c r="AK87" s="149">
        <f ca="1">SUM(AI87,Model_Mthly!$AA87,-AJ87)</f>
        <v>24750236.519720167</v>
      </c>
      <c r="AL87" s="229">
        <f>SUM(Model_Mthly!$Q87,-IF(AND(leveraged_property,B87&lt;=amort_period),-PMT(AL$3/12,amort_period,loan_amount),0))</f>
        <v>183453.28970223045</v>
      </c>
      <c r="AM87" s="229">
        <f>AM86+IF(AND(leveraged_property,$B87&lt;=amort_period),PPMT(AM$3/12,$B87,amort_period,loan_amount),0)</f>
        <v>8452707.5941262785</v>
      </c>
      <c r="AN87" s="229">
        <f ca="1">SUM(AL87,Model_Mthly!$AA87,-AM87)</f>
        <v>24708412.413784936</v>
      </c>
      <c r="AO87" s="149">
        <f>SUM(Model_Mthly!$Q87,-IF(AND(leveraged_property,B87&lt;=amort_period),-PMT(AO$3/12,amort_period,loan_amount),0))</f>
        <v>181953.82346805825</v>
      </c>
      <c r="AP87" s="162">
        <f>AP86+IF(AND(leveraged_property,$B87&lt;=amort_period),PPMT(AP$3/12,$B87,amort_period,loan_amount),0)</f>
        <v>8491933.0615864117</v>
      </c>
      <c r="AQ87" s="149">
        <f ca="1">SUM(AO87,Model_Mthly!$AA87,-AP87)</f>
        <v>24667687.480090633</v>
      </c>
      <c r="AR87" s="149">
        <f>SUM(Model_Mthly!$Q87,-IF(AND(leveraged_property,B87&lt;=amort_period),-PMT(AR$3/12,amort_period,loan_amount),0))</f>
        <v>180435.94494068358</v>
      </c>
      <c r="AS87" s="162">
        <f>AS86+IF(AND(leveraged_property,$B87&lt;=amort_period),PPMT(AS$3/12,$B87,amort_period,loan_amount),0)</f>
        <v>8530048.7159448657</v>
      </c>
      <c r="AT87" s="149">
        <f ca="1">SUM(AR87,Model_Mthly!$AA87,-AS87)</f>
        <v>24628053.947204806</v>
      </c>
      <c r="AU87" s="149">
        <f>SUM(Model_Mthly!$Q87,-IF(AND(leveraged_property,B87&lt;=amort_period),-PMT(AU$3/12,amort_period,loan_amount),0))</f>
        <v>178900.1107896883</v>
      </c>
      <c r="AV87" s="162">
        <f>AV86+IF(AND(leveraged_property,$B87&lt;=amort_period),PPMT(AV$3/12,$B87,amort_period,loan_amount),0)</f>
        <v>8567064.1363701597</v>
      </c>
      <c r="AW87" s="149">
        <f ca="1">SUM(AU87,Model_Mthly!$AA87,-AV87)</f>
        <v>24589502.692628518</v>
      </c>
      <c r="AX87" s="103"/>
      <c r="AY87" s="288">
        <f ca="1">IF(AND(leveraged_property,down_payment&gt;0),IRR(($AC$4:AC86,AE87),),"N/A")</f>
        <v>1.6991197053794461E-2</v>
      </c>
      <c r="AZ87" s="288">
        <f ca="1">IF(AND(leveraged_property,down_payment&gt;0),IRR(($AF$4:AF86,AH87),),"N/A")</f>
        <v>1.6882784159080195E-2</v>
      </c>
      <c r="BA87" s="288">
        <f ca="1">IF(AND(leveraged_property,down_payment&gt;0),IRR(($AI$4:AI86,AK87),),"N/A")</f>
        <v>1.6773463246366194E-2</v>
      </c>
      <c r="BB87" s="303">
        <f ca="1">IF(AND(leveraged_property,down_payment&gt;0),IRR(($AL$4:AL86,AN87),),"N/A")</f>
        <v>1.6663267252415466E-2</v>
      </c>
      <c r="BC87" s="288">
        <f ca="1">IF(AND(leveraged_property,down_payment&gt;0),IRR(($AO$4:AO86,AQ87),),"N/A")</f>
        <v>1.6552229196665384E-2</v>
      </c>
      <c r="BD87" s="288">
        <f ca="1">IF(AND(leveraged_property,down_payment&gt;0),IRR(($AR$4:AR86,AT87),),"N/A")</f>
        <v>1.6440382100482175E-2</v>
      </c>
      <c r="BE87" s="288">
        <f ca="1">IF(AND(leveraged_property,down_payment&gt;0),IRR(($AU$4:AU86,AW87),),"N/A")</f>
        <v>1.6327758909391574E-2</v>
      </c>
      <c r="BF87" s="103"/>
      <c r="BG87" s="290">
        <f ca="1">IF(AND(leveraged_property,down_payment&gt;0),((1+AY87)^12)-1,"N/A")</f>
        <v>0.22407019925220761</v>
      </c>
      <c r="BH87" s="290">
        <f ca="1">IF(AND(leveraged_property,down_payment&gt;0),((1+AZ87)^12)-1,"N/A")</f>
        <v>0.22250526281362837</v>
      </c>
      <c r="BI87" s="290">
        <f ca="1">IF(AND(leveraged_property,down_payment&gt;0),((1+BA87)^12)-1,"N/A")</f>
        <v>0.22092907646056092</v>
      </c>
      <c r="BJ87" s="305">
        <f ca="1">IF(AND(leveraged_property,down_payment&gt;0),((1+BB87)^12)-1,"N/A")</f>
        <v>0.21934215867203877</v>
      </c>
      <c r="BK87" s="290">
        <f ca="1">IF(AND(leveraged_property,down_payment&gt;0),((1+BC87)^12)-1,"N/A")</f>
        <v>0.21774502712466126</v>
      </c>
      <c r="BL87" s="290">
        <f ca="1">IF(AND(leveraged_property,down_payment&gt;0),((1+BD87)^12)-1,"N/A")</f>
        <v>0.21613819748641894</v>
      </c>
      <c r="BM87" s="290">
        <f ca="1">IF(AND(leveraged_property,down_payment&gt;0),((1+BE87)^12)-1,"N/A")</f>
        <v>0.21452218226354214</v>
      </c>
    </row>
    <row r="88" spans="1:65">
      <c r="A88" s="137">
        <f>Model_Mthly!A88</f>
        <v>42719</v>
      </c>
      <c r="B88" s="138">
        <f>Model_Mthly!B88</f>
        <v>84</v>
      </c>
      <c r="C88" s="223"/>
      <c r="D88" s="183">
        <f>Model_Mthly!AQ88</f>
        <v>183453.28970223045</v>
      </c>
      <c r="E88" s="202">
        <f>IF(OR($H$3&lt;=0.0075,$H$3=""),0,SUM(Model_Mthly!AQ88,(SUM(Model_Mthly!Q89:Q100)/$E$3)*(1-cost_of_sale),-Model_Mthly!V88))</f>
        <v>28134647.789816782</v>
      </c>
      <c r="F88" s="202">
        <f>IF(OR($H$3&lt;=0.0075,$H$3=""),0,SUM(Model_Mthly!AQ88,(SUM(Model_Mthly!Q89:Q100)/$F$3)*(1-cost_of_sale),-Model_Mthly!V88))</f>
        <v>26921690.999297254</v>
      </c>
      <c r="G88" s="202">
        <f>IF(OR($H$3&lt;=0.0075,$H$3=""),0,SUM(Model_Mthly!AQ88,(SUM(Model_Mthly!Q89:Q100)/$G$3)*(1-cost_of_sale),-Model_Mthly!V88))</f>
        <v>25786989.485585429</v>
      </c>
      <c r="H88" s="202">
        <f>IF(OR($H$3&lt;=0.0075,$H$3=""),0,SUM(Model_Mthly!AQ88,(SUM(Model_Mthly!Q89:Q100)/$H$3)*(1-cost_of_sale),-Model_Mthly!V88))</f>
        <v>24723206.816480599</v>
      </c>
      <c r="I88" s="202">
        <f>IF(OR($H$3&lt;=0.0075,$H$3=""),0,SUM(Model_Mthly!AQ88,(SUM(Model_Mthly!Q89:Q100)/$I$3)*(1-cost_of_sale),-Model_Mthly!V88))</f>
        <v>23723895.824291214</v>
      </c>
      <c r="J88" s="202">
        <f>IF(OR($H$3&lt;=0.0075,$H$3=""),0,SUM(Model_Mthly!AQ88,(SUM(Model_Mthly!Q89:Q100)/$J$3)*(1-cost_of_sale),-Model_Mthly!V88))</f>
        <v>22783367.831642382</v>
      </c>
      <c r="K88" s="202">
        <f>IF(OR($H$3&lt;=0.0075,$H$3=""),0,SUM(Model_Mthly!AQ88,(SUM(Model_Mthly!Q89:Q100)/$K$3)*(1-cost_of_sale),-Model_Mthly!V88))</f>
        <v>21896584.295716338</v>
      </c>
      <c r="L88" s="160"/>
      <c r="M88" s="289">
        <f>IF(OR($H$3&lt;=0.0075,$H$3="",down_payment&lt;=0),"N/A",IRR(($D$4:D87,E88),))</f>
        <v>1.7748743251005741E-2</v>
      </c>
      <c r="N88" s="289">
        <f>IF(OR($H$3&lt;=0.0075,$H$3="",down_payment&lt;=0),"N/A",IRR(($D$4:D87,F88),))</f>
        <v>1.7349729597951051E-2</v>
      </c>
      <c r="O88" s="289">
        <f>IF(OR($H$3&lt;=0.0075,$H$3="",down_payment&lt;=0),"N/A",IRR(($D$4:D87,G88),))</f>
        <v>1.6963112502554566E-2</v>
      </c>
      <c r="P88" s="289">
        <f>IF(OR($H$3&lt;=0.0075,$H$3="",down_payment&lt;=0),"N/A",IRR(($D$4:D87,H88),))</f>
        <v>1.6588076579328211E-2</v>
      </c>
      <c r="Q88" s="289">
        <f>IF(OR($H$3&lt;=0.0075,$H$3="",down_payment&lt;=0),"N/A",IRR(($D$4:D87,I88),))</f>
        <v>1.6223882485524047E-2</v>
      </c>
      <c r="R88" s="289">
        <f>IF(OR($H$3&lt;=0.0075,$H$3="",down_payment&lt;=0),"N/A",IRR(($D$4:D87,J88),))</f>
        <v>1.5869857760590612E-2</v>
      </c>
      <c r="S88" s="289">
        <f>IF(OR($H$3&lt;=0.0075,$H$3="",down_payment&lt;=0),"N/A",IRR(($D$4:D87,K88),))</f>
        <v>1.5525389001741215E-2</v>
      </c>
      <c r="T88" s="233"/>
      <c r="U88" s="291">
        <f t="shared" si="18"/>
        <v>0.23505670355207697</v>
      </c>
      <c r="V88" s="291">
        <f t="shared" si="19"/>
        <v>0.22925869210661887</v>
      </c>
      <c r="W88" s="291">
        <f t="shared" si="20"/>
        <v>0.22366462357272376</v>
      </c>
      <c r="X88" s="291">
        <f t="shared" si="21"/>
        <v>0.2182604332775917</v>
      </c>
      <c r="Y88" s="291">
        <f t="shared" si="22"/>
        <v>0.21303341853609337</v>
      </c>
      <c r="Z88" s="291">
        <f t="shared" si="23"/>
        <v>0.20797206996648665</v>
      </c>
      <c r="AA88" s="291">
        <f t="shared" si="24"/>
        <v>0.20306592796589373</v>
      </c>
      <c r="AB88" s="103"/>
      <c r="AC88" s="186">
        <f>SUM(Model_Mthly!$Q88,-IF(AND(leveraged_property,B88&lt;=amort_period),-PMT(AC$3/12,amort_period,loan_amount),0))</f>
        <v>187836.74786239956</v>
      </c>
      <c r="AD88" s="186">
        <f>AD87+IF(AND(leveraged_property,$B88&lt;=amort_period),PPMT(AD$3/12,$B88,amort_period,loan_amount),0)</f>
        <v>8311706.9784930004</v>
      </c>
      <c r="AE88" s="186">
        <f ca="1">SUM(AC88,Model_Mthly!$AA88,-AD88)</f>
        <v>24853392.511619158</v>
      </c>
      <c r="AF88" s="186">
        <f>SUM(Model_Mthly!$Q88,-IF(AND(leveraged_property,B88&lt;=amort_period),-PMT(AF$3/12,amort_period,loan_amount),0))</f>
        <v>186395.19064404257</v>
      </c>
      <c r="AG88" s="186">
        <f>AG87+IF(AND(leveraged_property,$B88&lt;=amort_period),PPMT(AG$3/12,$B88,amort_period,loan_amount),0)</f>
        <v>8354776.4377819821</v>
      </c>
      <c r="AH88" s="186">
        <f ca="1">SUM(AF88,Model_Mthly!$AA88,-AG88)</f>
        <v>24808881.495111823</v>
      </c>
      <c r="AI88" s="186">
        <f>SUM(Model_Mthly!$Q88,-IF(AND(leveraged_property,B88&lt;=amort_period),-PMT(AI$3/12,amort_period,loan_amount),0))</f>
        <v>184933.89312671585</v>
      </c>
      <c r="AJ88" s="186">
        <f>AJ87+IF(AND(leveraged_property,$B88&lt;=amort_period),PPMT(AJ$3/12,$B88,amort_period,loan_amount),0)</f>
        <v>8396708.8328128718</v>
      </c>
      <c r="AK88" s="186">
        <f ca="1">SUM(AI88,Model_Mthly!$AA88,-AJ88)</f>
        <v>24765487.802563604</v>
      </c>
      <c r="AL88" s="186">
        <f>SUM(Model_Mthly!$Q88,-IF(AND(leveraged_property,B88&lt;=amort_period),-PMT(AL$3/12,amort_period,loan_amount),0))</f>
        <v>183453.28970223045</v>
      </c>
      <c r="AM88" s="186">
        <f>AM87+IF(AND(leveraged_property,$B88&lt;=amort_period),PPMT(AM$3/12,$B88,amort_period,loan_amount),0)</f>
        <v>8437509.2154713925</v>
      </c>
      <c r="AN88" s="186">
        <f ca="1">SUM(AL88,Model_Mthly!$AA88,-AM88)</f>
        <v>24723206.816480599</v>
      </c>
      <c r="AO88" s="186">
        <f>SUM(Model_Mthly!$Q88,-IF(AND(leveraged_property,B88&lt;=amort_period),-PMT(AO$3/12,amort_period,loan_amount),0))</f>
        <v>181953.82346805825</v>
      </c>
      <c r="AP88" s="186">
        <f>AP87+IF(AND(leveraged_property,$B88&lt;=amort_period),PPMT(AP$3/12,$B88,amort_period,loan_amount),0)</f>
        <v>8477184.152811043</v>
      </c>
      <c r="AQ88" s="186">
        <f ca="1">SUM(AO88,Model_Mthly!$AA88,-AP88)</f>
        <v>24682032.412906777</v>
      </c>
      <c r="AR88" s="186">
        <f>SUM(Model_Mthly!$Q88,-IF(AND(leveraged_property,B88&lt;=amort_period),-PMT(AR$3/12,amort_period,loan_amount),0))</f>
        <v>180435.94494068358</v>
      </c>
      <c r="AS88" s="186">
        <f>AS87+IF(AND(leveraged_property,$B88&lt;=amort_period),PPMT(AS$3/12,$B88,amort_period,loan_amount),0)</f>
        <v>8515741.6596350782</v>
      </c>
      <c r="AT88" s="186">
        <f ca="1">SUM(AR88,Model_Mthly!$AA88,-AS88)</f>
        <v>24641957.027555365</v>
      </c>
      <c r="AU88" s="186">
        <f>SUM(Model_Mthly!$Q88,-IF(AND(leveraged_property,B88&lt;=amort_period),-PMT(AU$3/12,amort_period,loan_amount),0))</f>
        <v>178900.1107896883</v>
      </c>
      <c r="AV88" s="186">
        <f>AV87+IF(AND(leveraged_property,$B88&lt;=amort_period),PPMT(AV$3/12,$B88,amort_period,loan_amount),0)</f>
        <v>8553191.1280399133</v>
      </c>
      <c r="AW88" s="186">
        <f ca="1">SUM(AU88,Model_Mthly!$AA88,-AV88)</f>
        <v>24602971.72499954</v>
      </c>
      <c r="AX88" s="103"/>
      <c r="AY88" s="289">
        <f ca="1">IF(AND(leveraged_property,down_payment&gt;0),IRR(($AC$4:AC87,AE88),),"N/A")</f>
        <v>1.6915606705798458E-2</v>
      </c>
      <c r="AZ88" s="289">
        <f ca="1">IF(AND(leveraged_property,down_payment&gt;0),IRR(($AF$4:AF87,AH88),),"N/A")</f>
        <v>1.6807331373240645E-2</v>
      </c>
      <c r="BA88" s="289">
        <f ca="1">IF(AND(leveraged_property,down_payment&gt;0),IRR(($AI$4:AI87,AK88),),"N/A")</f>
        <v>1.6698143642010634E-2</v>
      </c>
      <c r="BB88" s="289">
        <f ca="1">IF(AND(leveraged_property,down_payment&gt;0),IRR(($AL$4:AL87,AN88),),"N/A")</f>
        <v>1.6588076579328211E-2</v>
      </c>
      <c r="BC88" s="289">
        <f ca="1">IF(AND(leveraged_property,down_payment&gt;0),IRR(($AO$4:AO87,AQ88),),"N/A")</f>
        <v>1.6477163339991108E-2</v>
      </c>
      <c r="BD88" s="289">
        <f ca="1">IF(AND(leveraged_property,down_payment&gt;0),IRR(($AR$4:AR87,AT88),),"N/A")</f>
        <v>1.6365437085118773E-2</v>
      </c>
      <c r="BE88" s="289">
        <f ca="1">IF(AND(leveraged_property,down_payment&gt;0),IRR(($AU$4:AU87,AW88),),"N/A")</f>
        <v>1.6252930903868295E-2</v>
      </c>
      <c r="BF88" s="103"/>
      <c r="BG88" s="291">
        <f ca="1">IF(AND(leveraged_property,down_payment&gt;0),((1+AY88)^12)-1,"N/A")</f>
        <v>0.22297886147285961</v>
      </c>
      <c r="BH88" s="291">
        <f ca="1">IF(AND(leveraged_property,down_payment&gt;0),((1+AZ88)^12)-1,"N/A")</f>
        <v>0.2214171870421433</v>
      </c>
      <c r="BI88" s="291">
        <f ca="1">IF(AND(leveraged_property,down_payment&gt;0),((1+BA88)^12)-1,"N/A")</f>
        <v>0.21984420427342033</v>
      </c>
      <c r="BJ88" s="291">
        <f ca="1">IF(AND(leveraged_property,down_payment&gt;0),((1+BB88)^12)-1,"N/A")</f>
        <v>0.2182604332775917</v>
      </c>
      <c r="BK88" s="291">
        <f ca="1">IF(AND(leveraged_property,down_payment&gt;0),((1+BC88)^12)-1,"N/A")</f>
        <v>0.21666639343105953</v>
      </c>
      <c r="BL88" s="291">
        <f ca="1">IF(AND(leveraged_property,down_payment&gt;0),((1+BD88)^12)-1,"N/A")</f>
        <v>0.21506260216242024</v>
      </c>
      <c r="BM88" s="291">
        <f ca="1">IF(AND(leveraged_property,down_payment&gt;0),((1+BE88)^12)-1,"N/A")</f>
        <v>0.21344957379207896</v>
      </c>
    </row>
    <row r="89" spans="1:65">
      <c r="A89" s="137">
        <f>Model_Mthly!A89</f>
        <v>42750</v>
      </c>
      <c r="B89" s="138">
        <f>Model_Mthly!B89</f>
        <v>85</v>
      </c>
      <c r="C89" s="223"/>
      <c r="D89" s="139">
        <f>Model_Mthly!AQ89</f>
        <v>183437.34391773003</v>
      </c>
      <c r="E89" s="231">
        <f>IF(OR($H$3&lt;=0.0075,$H$3=""),0,SUM(Model_Mthly!AQ89,(SUM(Model_Mthly!Q90:Q101)/$E$3)*(1-cost_of_sale),-Model_Mthly!V89))</f>
        <v>28686492.252862953</v>
      </c>
      <c r="F89" s="231">
        <f>IF(OR($H$3&lt;=0.0075,$H$3=""),0,SUM(Model_Mthly!AQ89,(SUM(Model_Mthly!Q90:Q101)/$F$3)*(1-cost_of_sale),-Model_Mthly!V89))</f>
        <v>27455649.049978748</v>
      </c>
      <c r="G89" s="231">
        <f>IF(OR($H$3&lt;=0.0075,$H$3=""),0,SUM(Model_Mthly!AQ89,(SUM(Model_Mthly!Q90:Q101)/$G$3)*(1-cost_of_sale),-Model_Mthly!V89))</f>
        <v>26304215.085990295</v>
      </c>
      <c r="H89" s="232">
        <f>IF(OR($H$3&lt;=0.0075,$H$3=""),0,SUM(Model_Mthly!AQ89,(SUM(Model_Mthly!Q90:Q101)/$H$3)*(1-cost_of_sale),-Model_Mthly!V89))</f>
        <v>25224745.744751118</v>
      </c>
      <c r="I89" s="231">
        <f>IF(OR($H$3&lt;=0.0075,$H$3=""),0,SUM(Model_Mthly!AQ89,(SUM(Model_Mthly!Q90:Q101)/$I$3)*(1-cost_of_sale),-Model_Mthly!V89))</f>
        <v>24210698.787829477</v>
      </c>
      <c r="J89" s="231">
        <f>IF(OR($H$3&lt;=0.0075,$H$3=""),0,SUM(Model_Mthly!AQ89,(SUM(Model_Mthly!Q90:Q101)/$J$3)*(1-cost_of_sale),-Model_Mthly!V89))</f>
        <v>23256301.651903216</v>
      </c>
      <c r="K89" s="231">
        <f>IF(OR($H$3&lt;=0.0075,$H$3=""),0,SUM(Model_Mthly!AQ89,(SUM(Model_Mthly!Q90:Q101)/$K$3)*(1-cost_of_sale),-Model_Mthly!V89))</f>
        <v>22356441.495172743</v>
      </c>
      <c r="L89" s="160"/>
      <c r="M89" s="302">
        <f>IF(OR($H$3&lt;=0.0075,$H$3="",down_payment&lt;=0),"N/A",IRR(($D$4:D88,E89),))</f>
        <v>1.7823773323430304E-2</v>
      </c>
      <c r="N89" s="288">
        <f>IF(OR($H$3&lt;=0.0075,$H$3="",down_payment&lt;=0),"N/A",IRR(($D$4:D88,F89),))</f>
        <v>1.7432144491920803E-2</v>
      </c>
      <c r="O89" s="288">
        <f>IF(OR($H$3&lt;=0.0075,$H$3="",down_payment&lt;=0),"N/A",IRR(($D$4:D88,G89),))</f>
        <v>1.705276558600384E-2</v>
      </c>
      <c r="P89" s="303">
        <f>IF(OR($H$3&lt;=0.0075,$H$3="",down_payment&lt;=0),"N/A",IRR(($D$4:D88,H89),))</f>
        <v>1.6684831861657451E-2</v>
      </c>
      <c r="Q89" s="288">
        <f>IF(OR($H$3&lt;=0.0075,$H$3="",down_payment&lt;=0),"N/A",IRR(($D$4:D88,I89),))</f>
        <v>1.6327613655378298E-2</v>
      </c>
      <c r="R89" s="288">
        <f>IF(OR($H$3&lt;=0.0075,$H$3="",down_payment&lt;=0),"N/A",IRR(($D$4:D88,J89),))</f>
        <v>1.5980447339633341E-2</v>
      </c>
      <c r="S89" s="288">
        <f>IF(OR($H$3&lt;=0.0075,$H$3="",down_payment&lt;=0),"N/A",IRR(($D$4:D88,K89),))</f>
        <v>1.564272759756636E-2</v>
      </c>
      <c r="T89" s="233"/>
      <c r="U89" s="304">
        <f t="shared" si="18"/>
        <v>0.23614975105049396</v>
      </c>
      <c r="V89" s="304">
        <f t="shared" si="19"/>
        <v>0.23045420282446893</v>
      </c>
      <c r="W89" s="304">
        <f t="shared" si="20"/>
        <v>0.22495975626798148</v>
      </c>
      <c r="X89" s="305">
        <f t="shared" si="21"/>
        <v>0.21965255885054891</v>
      </c>
      <c r="Y89" s="304">
        <f t="shared" si="22"/>
        <v>0.21452009930460325</v>
      </c>
      <c r="Z89" s="304">
        <f t="shared" si="23"/>
        <v>0.20955104155591364</v>
      </c>
      <c r="AA89" s="304">
        <f t="shared" si="24"/>
        <v>0.2047350834185595</v>
      </c>
      <c r="AB89" s="103"/>
      <c r="AC89" s="149">
        <f>SUM(Model_Mthly!$Q89,-IF(AND(leveraged_property,B89&lt;=amort_period),-PMT(AC$3/12,amort_period,loan_amount),0))</f>
        <v>187820.80207789913</v>
      </c>
      <c r="AD89" s="149">
        <f>AD88+IF(AND(leveraged_property,$B89&lt;=amort_period),PPMT(AD$3/12,$B89,amort_period,loan_amount),0)</f>
        <v>8295050.9883150728</v>
      </c>
      <c r="AE89" s="149">
        <f ca="1">SUM(AC89,Model_Mthly!$AA89,-AD89)</f>
        <v>25356319.39217722</v>
      </c>
      <c r="AF89" s="149">
        <f>SUM(Model_Mthly!$Q89,-IF(AND(leveraged_property,B89&lt;=amort_period),-PMT(AF$3/12,amort_period,loan_amount),0))</f>
        <v>186379.24485954212</v>
      </c>
      <c r="AG89" s="149">
        <f>AG88+IF(AND(leveraged_property,$B89&lt;=amort_period),PPMT(AG$3/12,$B89,amort_period,loan_amount),0)</f>
        <v>8338589.9520865874</v>
      </c>
      <c r="AH89" s="149">
        <f ca="1">SUM(AF89,Model_Mthly!$AA89,-AG89)</f>
        <v>25311338.871187348</v>
      </c>
      <c r="AI89" s="149">
        <f>SUM(Model_Mthly!$Q89,-IF(AND(leveraged_property,B89&lt;=amort_period),-PMT(AI$3/12,amort_period,loan_amount),0))</f>
        <v>184917.94734221543</v>
      </c>
      <c r="AJ89" s="149">
        <f>AJ88+IF(AND(leveraged_property,$B89&lt;=amort_period),PPMT(AJ$3/12,$B89,amort_period,loan_amount),0)</f>
        <v>8380985.0822529485</v>
      </c>
      <c r="AK89" s="149">
        <f ca="1">SUM(AI89,Model_Mthly!$AA89,-AJ89)</f>
        <v>25267482.443503663</v>
      </c>
      <c r="AL89" s="229">
        <f>SUM(Model_Mthly!$Q89,-IF(AND(leveraged_property,B89&lt;=amort_period),-PMT(AL$3/12,amort_period,loan_amount),0))</f>
        <v>183437.34391773003</v>
      </c>
      <c r="AM89" s="229">
        <f>AM88+IF(AND(leveraged_property,$B89&lt;=amort_period),PPMT(AM$3/12,$B89,amort_period,loan_amount),0)</f>
        <v>8422241.1775810048</v>
      </c>
      <c r="AN89" s="229">
        <f ca="1">SUM(AL89,Model_Mthly!$AA89,-AM89)</f>
        <v>25224745.744751118</v>
      </c>
      <c r="AO89" s="149">
        <f>SUM(Model_Mthly!$Q89,-IF(AND(leveraged_property,B89&lt;=amort_period),-PMT(AO$3/12,amort_period,loan_amount),0))</f>
        <v>181937.87768355783</v>
      </c>
      <c r="AP89" s="162">
        <f>AP88+IF(AND(leveraged_property,$B89&lt;=amort_period),PPMT(AP$3/12,$B89,amort_period,loan_amount),0)</f>
        <v>8462364.5721811242</v>
      </c>
      <c r="AQ89" s="149">
        <f ca="1">SUM(AO89,Model_Mthly!$AA89,-AP89)</f>
        <v>25183122.883916829</v>
      </c>
      <c r="AR89" s="149">
        <f>SUM(Model_Mthly!$Q89,-IF(AND(leveraged_property,B89&lt;=amort_period),-PMT(AR$3/12,amort_period,loan_amount),0))</f>
        <v>180419.99915618316</v>
      </c>
      <c r="AS89" s="162">
        <f>AS88+IF(AND(leveraged_property,$B89&lt;=amort_period),PPMT(AS$3/12,$B89,amort_period,loan_amount),0)</f>
        <v>8501363.0680437423</v>
      </c>
      <c r="AT89" s="149">
        <f ca="1">SUM(AR89,Model_Mthly!$AA89,-AS89)</f>
        <v>25142606.509526838</v>
      </c>
      <c r="AU89" s="149">
        <f>SUM(Model_Mthly!$Q89,-IF(AND(leveraged_property,B89&lt;=amort_period),-PMT(AU$3/12,amort_period,loan_amount),0))</f>
        <v>178884.16500518785</v>
      </c>
      <c r="AV89" s="162">
        <f>AV88+IF(AND(leveraged_property,$B89&lt;=amort_period),PPMT(AV$3/12,$B89,amort_period,loan_amount),0)</f>
        <v>8539245.8644579463</v>
      </c>
      <c r="AW89" s="149">
        <f ca="1">SUM(AU89,Model_Mthly!$AA89,-AV89)</f>
        <v>25103187.878961634</v>
      </c>
      <c r="AX89" s="103"/>
      <c r="AY89" s="288">
        <f ca="1">IF(AND(leveraged_property,down_payment&gt;0),IRR(($AC$4:AC88,AE89),),"N/A")</f>
        <v>1.7009378264961454E-2</v>
      </c>
      <c r="AZ89" s="288">
        <f ca="1">IF(AND(leveraged_property,down_payment&gt;0),IRR(($AF$4:AF88,AH89),),"N/A")</f>
        <v>1.6902094904771788E-2</v>
      </c>
      <c r="BA89" s="288">
        <f ca="1">IF(AND(leveraged_property,down_payment&gt;0),IRR(($AI$4:AI88,AK89),),"N/A")</f>
        <v>1.6793901774363525E-2</v>
      </c>
      <c r="BB89" s="303">
        <f ca="1">IF(AND(leveraged_property,down_payment&gt;0),IRR(($AL$4:AL88,AN89),),"N/A")</f>
        <v>1.6684831861657451E-2</v>
      </c>
      <c r="BC89" s="288">
        <f ca="1">IF(AND(leveraged_property,down_payment&gt;0),IRR(($AO$4:AO88,AQ89),),"N/A")</f>
        <v>1.6574918246674779E-2</v>
      </c>
      <c r="BD89" s="288">
        <f ca="1">IF(AND(leveraged_property,down_payment&gt;0),IRR(($AR$4:AR88,AT89),),"N/A")</f>
        <v>1.6464194020307549E-2</v>
      </c>
      <c r="BE89" s="288">
        <f ca="1">IF(AND(leveraged_property,down_payment&gt;0),IRR(($AU$4:AU88,AW89),),"N/A")</f>
        <v>1.6352692206050297E-2</v>
      </c>
      <c r="BF89" s="103"/>
      <c r="BG89" s="290">
        <f ca="1">IF(AND(leveraged_property,down_payment&gt;0),((1+AY89)^12)-1,"N/A")</f>
        <v>0.2243328241467788</v>
      </c>
      <c r="BH89" s="290">
        <f ca="1">IF(AND(leveraged_property,down_payment&gt;0),((1+AZ89)^12)-1,"N/A")</f>
        <v>0.22278387845503178</v>
      </c>
      <c r="BI89" s="290">
        <f ca="1">IF(AND(leveraged_property,down_payment&gt;0),((1+BA89)^12)-1,"N/A")</f>
        <v>0.22122361702105908</v>
      </c>
      <c r="BJ89" s="305">
        <f ca="1">IF(AND(leveraged_property,down_payment&gt;0),((1+BB89)^12)-1,"N/A")</f>
        <v>0.21965255885054891</v>
      </c>
      <c r="BK89" s="290">
        <f ca="1">IF(AND(leveraged_property,down_payment&gt;0),((1+BC89)^12)-1,"N/A")</f>
        <v>0.21807122230495923</v>
      </c>
      <c r="BL89" s="290">
        <f ca="1">IF(AND(leveraged_property,down_payment&gt;0),((1+BD89)^12)-1,"N/A")</f>
        <v>0.21648012388711302</v>
      </c>
      <c r="BM89" s="290">
        <f ca="1">IF(AND(leveraged_property,down_payment&gt;0),((1+BE89)^12)-1,"N/A")</f>
        <v>0.21487977707951988</v>
      </c>
    </row>
    <row r="90" spans="1:65">
      <c r="A90" s="137">
        <f>Model_Mthly!A90</f>
        <v>42781</v>
      </c>
      <c r="B90" s="138">
        <f>Model_Mthly!B90</f>
        <v>86</v>
      </c>
      <c r="C90" s="223"/>
      <c r="D90" s="139">
        <f>Model_Mthly!AQ90</f>
        <v>120524.12031490108</v>
      </c>
      <c r="E90" s="231">
        <f>IF(OR($H$3&lt;=0.0075,$H$3=""),0,SUM(Model_Mthly!AQ90,(SUM(Model_Mthly!Q91:Q102)/$E$3)*(1-cost_of_sale),-Model_Mthly!V90))</f>
        <v>29140782.097334094</v>
      </c>
      <c r="F90" s="231">
        <f>IF(OR($H$3&lt;=0.0075,$H$3=""),0,SUM(Model_Mthly!AQ90,(SUM(Model_Mthly!Q91:Q102)/$F$3)*(1-cost_of_sale),-Model_Mthly!V90))</f>
        <v>27893210.059394002</v>
      </c>
      <c r="G90" s="231">
        <f>IF(OR($H$3&lt;=0.0075,$H$3=""),0,SUM(Model_Mthly!AQ90,(SUM(Model_Mthly!Q91:Q102)/$G$3)*(1-cost_of_sale),-Model_Mthly!V90))</f>
        <v>26726126.540030688</v>
      </c>
      <c r="H90" s="232">
        <f>IF(OR($H$3&lt;=0.0075,$H$3=""),0,SUM(Model_Mthly!AQ90,(SUM(Model_Mthly!Q91:Q102)/$H$3)*(1-cost_of_sale),-Model_Mthly!V90))</f>
        <v>25631985.740627579</v>
      </c>
      <c r="I90" s="231">
        <f>IF(OR($H$3&lt;=0.0075,$H$3=""),0,SUM(Model_Mthly!AQ90,(SUM(Model_Mthly!Q91:Q102)/$I$3)*(1-cost_of_sale),-Model_Mthly!V90))</f>
        <v>24604156.504824661</v>
      </c>
      <c r="J90" s="231">
        <f>IF(OR($H$3&lt;=0.0075,$H$3=""),0,SUM(Model_Mthly!AQ90,(SUM(Model_Mthly!Q91:Q102)/$J$3)*(1-cost_of_sale),-Model_Mthly!V90))</f>
        <v>23636787.812304266</v>
      </c>
      <c r="K90" s="231">
        <f>IF(OR($H$3&lt;=0.0075,$H$3=""),0,SUM(Model_Mthly!AQ90,(SUM(Model_Mthly!Q91:Q102)/$K$3)*(1-cost_of_sale),-Model_Mthly!V90))</f>
        <v>22724697.330785036</v>
      </c>
      <c r="L90" s="160"/>
      <c r="M90" s="302">
        <f>IF(OR($H$3&lt;=0.0075,$H$3="",down_payment&lt;=0),"N/A",IRR(($D$4:D89,E90),))</f>
        <v>1.7863190550397642E-2</v>
      </c>
      <c r="N90" s="288">
        <f>IF(OR($H$3&lt;=0.0075,$H$3="",down_payment&lt;=0),"N/A",IRR(($D$4:D89,F90),))</f>
        <v>1.7477994004629512E-2</v>
      </c>
      <c r="O90" s="288">
        <f>IF(OR($H$3&lt;=0.0075,$H$3="",down_payment&lt;=0),"N/A",IRR(($D$4:D89,G90),))</f>
        <v>1.7104898699172706E-2</v>
      </c>
      <c r="P90" s="303">
        <f>IF(OR($H$3&lt;=0.0075,$H$3="",down_payment&lt;=0),"N/A",IRR(($D$4:D89,H90),))</f>
        <v>1.6743110189218296E-2</v>
      </c>
      <c r="Q90" s="288">
        <f>IF(OR($H$3&lt;=0.0075,$H$3="",down_payment&lt;=0),"N/A",IRR(($D$4:D89,I90),))</f>
        <v>1.6391908168668149E-2</v>
      </c>
      <c r="R90" s="288">
        <f>IF(OR($H$3&lt;=0.0075,$H$3="",down_payment&lt;=0),"N/A",IRR(($D$4:D89,J90),))</f>
        <v>1.6050637538919679E-2</v>
      </c>
      <c r="S90" s="288">
        <f>IF(OR($H$3&lt;=0.0075,$H$3="",down_payment&lt;=0),"N/A",IRR(($D$4:D89,K90),))</f>
        <v>1.5718700780419328E-2</v>
      </c>
      <c r="T90" s="233"/>
      <c r="U90" s="304">
        <f t="shared" si="18"/>
        <v>0.23672434138398279</v>
      </c>
      <c r="V90" s="304">
        <f t="shared" si="19"/>
        <v>0.23111975730789491</v>
      </c>
      <c r="W90" s="304">
        <f t="shared" si="20"/>
        <v>0.22571345135415455</v>
      </c>
      <c r="X90" s="305">
        <f t="shared" si="21"/>
        <v>0.22049177732932179</v>
      </c>
      <c r="Y90" s="304">
        <f t="shared" si="22"/>
        <v>0.21544241001823505</v>
      </c>
      <c r="Z90" s="304">
        <f t="shared" si="23"/>
        <v>0.21055418167231643</v>
      </c>
      <c r="AA90" s="304">
        <f t="shared" si="24"/>
        <v>0.20581694287557872</v>
      </c>
      <c r="AB90" s="103"/>
      <c r="AC90" s="149">
        <f>SUM(Model_Mthly!$Q90,-IF(AND(leveraged_property,B90&lt;=amort_period),-PMT(AC$3/12,amort_period,loan_amount),0))</f>
        <v>124907.57847507019</v>
      </c>
      <c r="AD90" s="149">
        <f>AD89+IF(AND(leveraged_property,$B90&lt;=amort_period),PPMT(AD$3/12,$B90,amort_period,loan_amount),0)</f>
        <v>8278329.0681760237</v>
      </c>
      <c r="AE90" s="149">
        <f ca="1">SUM(AC90,Model_Mthly!$AA90,-AD90)</f>
        <v>25764943.291795343</v>
      </c>
      <c r="AF90" s="149">
        <f>SUM(Model_Mthly!$Q90,-IF(AND(leveraged_property,B90&lt;=amort_period),-PMT(AF$3/12,amort_period,loan_amount),0))</f>
        <v>123466.02125671318</v>
      </c>
      <c r="AG90" s="149">
        <f>AG89+IF(AND(leveraged_property,$B90&lt;=amort_period),PPMT(AG$3/12,$B90,amort_period,loan_amount),0)</f>
        <v>8322336.022700795</v>
      </c>
      <c r="AH90" s="149">
        <f ca="1">SUM(AF90,Model_Mthly!$AA90,-AG90)</f>
        <v>25719494.780052215</v>
      </c>
      <c r="AI90" s="149">
        <f>SUM(Model_Mthly!$Q90,-IF(AND(leveraged_property,B90&lt;=amort_period),-PMT(AI$3/12,amort_period,loan_amount),0))</f>
        <v>122004.72373938648</v>
      </c>
      <c r="AJ90" s="149">
        <f>AJ89+IF(AND(leveraged_property,$B90&lt;=amort_period),PPMT(AJ$3/12,$B90,amort_period,loan_amount),0)</f>
        <v>8365192.5402843254</v>
      </c>
      <c r="AK90" s="149">
        <f ca="1">SUM(AI90,Model_Mthly!$AA90,-AJ90)</f>
        <v>25675176.964951355</v>
      </c>
      <c r="AL90" s="229">
        <f>SUM(Model_Mthly!$Q90,-IF(AND(leveraged_property,B90&lt;=amort_period),-PMT(AL$3/12,amort_period,loan_amount),0))</f>
        <v>120524.12031490108</v>
      </c>
      <c r="AM90" s="229">
        <f>AM89+IF(AND(leveraged_property,$B90&lt;=amort_period),PPMT(AM$3/12,$B90,amort_period,loan_amount),0)</f>
        <v>8406903.1611836199</v>
      </c>
      <c r="AN90" s="229">
        <f ca="1">SUM(AL90,Model_Mthly!$AA90,-AM90)</f>
        <v>25631985.740627579</v>
      </c>
      <c r="AO90" s="149">
        <f>SUM(Model_Mthly!$Q90,-IF(AND(leveraged_property,B90&lt;=amort_period),-PMT(AO$3/12,amort_period,loan_amount),0))</f>
        <v>119024.65408072888</v>
      </c>
      <c r="AP90" s="162">
        <f>AP89+IF(AND(leveraged_property,$B90&lt;=amort_period),PPMT(AP$3/12,$B90,amort_period,loan_amount),0)</f>
        <v>8447473.9810606875</v>
      </c>
      <c r="AQ90" s="149">
        <f ca="1">SUM(AO90,Model_Mthly!$AA90,-AP90)</f>
        <v>25589915.454516333</v>
      </c>
      <c r="AR90" s="149">
        <f>SUM(Model_Mthly!$Q90,-IF(AND(leveraged_property,B90&lt;=amort_period),-PMT(AR$3/12,amort_period,loan_amount),0))</f>
        <v>117506.77555335421</v>
      </c>
      <c r="AS90" s="162">
        <f>AS89+IF(AND(leveraged_property,$B90&lt;=amort_period),PPMT(AS$3/12,$B90,amort_period,loan_amount),0)</f>
        <v>8486912.583494449</v>
      </c>
      <c r="AT90" s="149">
        <f ca="1">SUM(AR90,Model_Mthly!$AA90,-AS90)</f>
        <v>25548958.9735552</v>
      </c>
      <c r="AU90" s="149">
        <f>SUM(Model_Mthly!$Q90,-IF(AND(leveraged_property,B90&lt;=amort_period),-PMT(AU$3/12,amort_period,loan_amount),0))</f>
        <v>115970.94140235892</v>
      </c>
      <c r="AV90" s="162">
        <f>AV89+IF(AND(leveraged_property,$B90&lt;=amort_period),PPMT(AV$3/12,$B90,amort_period,loan_amount),0)</f>
        <v>8525227.9692948237</v>
      </c>
      <c r="AW90" s="149">
        <f ca="1">SUM(AU90,Model_Mthly!$AA90,-AV90)</f>
        <v>25509107.753603831</v>
      </c>
      <c r="AX90" s="103"/>
      <c r="AY90" s="288">
        <f ca="1">IF(AND(leveraged_property,down_payment&gt;0),IRR(($AC$4:AC89,AE90),),"N/A")</f>
        <v>1.706526482822656E-2</v>
      </c>
      <c r="AZ90" s="288">
        <f ca="1">IF(AND(leveraged_property,down_payment&gt;0),IRR(($AF$4:AF89,AH90),),"N/A")</f>
        <v>1.6958777472721391E-2</v>
      </c>
      <c r="BA90" s="288">
        <f ca="1">IF(AND(leveraged_property,down_payment&gt;0),IRR(($AI$4:AI89,AK90),),"N/A")</f>
        <v>1.6851381609453105E-2</v>
      </c>
      <c r="BB90" s="303">
        <f ca="1">IF(AND(leveraged_property,down_payment&gt;0),IRR(($AL$4:AL89,AN90),),"N/A")</f>
        <v>1.6743110189218296E-2</v>
      </c>
      <c r="BC90" s="288">
        <f ca="1">IF(AND(leveraged_property,down_payment&gt;0),IRR(($AO$4:AO89,AQ90),),"N/A")</f>
        <v>1.6633996259340426E-2</v>
      </c>
      <c r="BD90" s="288">
        <f ca="1">IF(AND(leveraged_property,down_payment&gt;0),IRR(($AR$4:AR89,AT90),),"N/A")</f>
        <v>1.6524072882369758E-2</v>
      </c>
      <c r="BE90" s="288">
        <f ca="1">IF(AND(leveraged_property,down_payment&gt;0),IRR(($AU$4:AU89,AW90),),"N/A")</f>
        <v>1.6413373057726201E-2</v>
      </c>
      <c r="BF90" s="103"/>
      <c r="BG90" s="290">
        <f ca="1">IF(AND(leveraged_property,down_payment&gt;0),((1+AY90)^12)-1,"N/A")</f>
        <v>0.22514042068411944</v>
      </c>
      <c r="BH90" s="290">
        <f ca="1">IF(AND(leveraged_property,down_payment&gt;0),((1+AZ90)^12)-1,"N/A")</f>
        <v>0.22360203135219248</v>
      </c>
      <c r="BI90" s="290">
        <f ca="1">IF(AND(leveraged_property,down_payment&gt;0),((1+BA90)^12)-1,"N/A")</f>
        <v>0.2220523107556458</v>
      </c>
      <c r="BJ90" s="305">
        <f ca="1">IF(AND(leveraged_property,down_payment&gt;0),((1+BB90)^12)-1,"N/A")</f>
        <v>0.22049177732932179</v>
      </c>
      <c r="BK90" s="290">
        <f ca="1">IF(AND(leveraged_property,down_payment&gt;0),((1+BC90)^12)-1,"N/A")</f>
        <v>0.21892094894665215</v>
      </c>
      <c r="BL90" s="290">
        <f ca="1">IF(AND(leveraged_property,down_payment&gt;0),((1+BD90)^12)-1,"N/A")</f>
        <v>0.21734034170315608</v>
      </c>
      <c r="BM90" s="290">
        <f ca="1">IF(AND(leveraged_property,down_payment&gt;0),((1+BE90)^12)-1,"N/A")</f>
        <v>0.21575046875239812</v>
      </c>
    </row>
    <row r="91" spans="1:65">
      <c r="A91" s="137">
        <f>Model_Mthly!A91</f>
        <v>42809</v>
      </c>
      <c r="B91" s="138">
        <f>Model_Mthly!B91</f>
        <v>87</v>
      </c>
      <c r="C91" s="223"/>
      <c r="D91" s="139">
        <f>Model_Mthly!AQ91</f>
        <v>183437.34391773003</v>
      </c>
      <c r="E91" s="231">
        <f>IF(OR($H$3&lt;=0.0075,$H$3=""),0,SUM(Model_Mthly!AQ91,(SUM(Model_Mthly!Q92:Q103)/$E$3)*(1-cost_of_sale),-Model_Mthly!V91))</f>
        <v>29755696.007516414</v>
      </c>
      <c r="F91" s="231">
        <f>IF(OR($H$3&lt;=0.0075,$H$3=""),0,SUM(Model_Mthly!AQ91,(SUM(Model_Mthly!Q92:Q103)/$F$3)*(1-cost_of_sale),-Model_Mthly!V91))</f>
        <v>28490237.557211637</v>
      </c>
      <c r="G91" s="231">
        <f>IF(OR($H$3&lt;=0.0075,$H$3=""),0,SUM(Model_Mthly!AQ91,(SUM(Model_Mthly!Q92:Q103)/$G$3)*(1-cost_of_sale),-Model_Mthly!V91))</f>
        <v>27306421.587571695</v>
      </c>
      <c r="H91" s="232">
        <f>IF(OR($H$3&lt;=0.0075,$H$3=""),0,SUM(Model_Mthly!AQ91,(SUM(Model_Mthly!Q92:Q103)/$H$3)*(1-cost_of_sale),-Model_Mthly!V91))</f>
        <v>26196594.116034247</v>
      </c>
      <c r="I91" s="231">
        <f>IF(OR($H$3&lt;=0.0075,$H$3=""),0,SUM(Model_Mthly!AQ91,(SUM(Model_Mthly!Q92:Q103)/$I$3)*(1-cost_of_sale),-Model_Mthly!V91))</f>
        <v>25154028.915499065</v>
      </c>
      <c r="J91" s="231">
        <f>IF(OR($H$3&lt;=0.0075,$H$3=""),0,SUM(Model_Mthly!AQ91,(SUM(Model_Mthly!Q92:Q103)/$J$3)*(1-cost_of_sale),-Model_Mthly!V91))</f>
        <v>24172791.079701252</v>
      </c>
      <c r="K91" s="231">
        <f>IF(OR($H$3&lt;=0.0075,$H$3=""),0,SUM(Model_Mthly!AQ91,(SUM(Model_Mthly!Q92:Q103)/$K$3)*(1-cost_of_sale),-Model_Mthly!V91))</f>
        <v>23247623.977377594</v>
      </c>
      <c r="L91" s="160"/>
      <c r="M91" s="302">
        <f>IF(OR($H$3&lt;=0.0075,$H$3="",down_payment&lt;=0),"N/A",IRR(($D$4:D90,E91),))</f>
        <v>1.7927135888848481E-2</v>
      </c>
      <c r="N91" s="288">
        <f>IF(OR($H$3&lt;=0.0075,$H$3="",down_payment&lt;=0),"N/A",IRR(($D$4:D90,F91),))</f>
        <v>1.7548852493958857E-2</v>
      </c>
      <c r="O91" s="288">
        <f>IF(OR($H$3&lt;=0.0075,$H$3="",down_payment&lt;=0),"N/A",IRR(($D$4:D90,G91),))</f>
        <v>1.7182528365408133E-2</v>
      </c>
      <c r="P91" s="303">
        <f>IF(OR($H$3&lt;=0.0075,$H$3="",down_payment&lt;=0),"N/A",IRR(($D$4:D90,H91),))</f>
        <v>1.6827379167426822E-2</v>
      </c>
      <c r="Q91" s="288">
        <f>IF(OR($H$3&lt;=0.0075,$H$3="",down_payment&lt;=0),"N/A",IRR(($D$4:D90,I91),))</f>
        <v>1.6482693784321316E-2</v>
      </c>
      <c r="R91" s="288">
        <f>IF(OR($H$3&lt;=0.0075,$H$3="",down_payment&lt;=0),"N/A",IRR(($D$4:D90,J91),))</f>
        <v>1.6147825499850898E-2</v>
      </c>
      <c r="S91" s="288">
        <f>IF(OR($H$3&lt;=0.0075,$H$3="",down_payment&lt;=0),"N/A",IRR(($D$4:D90,K91),))</f>
        <v>1.582218446328806E-2</v>
      </c>
      <c r="T91" s="233"/>
      <c r="U91" s="304">
        <f t="shared" si="18"/>
        <v>0.23765700213772512</v>
      </c>
      <c r="V91" s="304">
        <f t="shared" si="19"/>
        <v>0.23214899282482238</v>
      </c>
      <c r="W91" s="304">
        <f t="shared" si="20"/>
        <v>0.22683654116887686</v>
      </c>
      <c r="X91" s="305">
        <f t="shared" si="21"/>
        <v>0.22170620198308755</v>
      </c>
      <c r="Y91" s="304">
        <f t="shared" si="22"/>
        <v>0.21674583140396164</v>
      </c>
      <c r="Z91" s="304">
        <f t="shared" si="23"/>
        <v>0.21194442585548168</v>
      </c>
      <c r="AA91" s="304">
        <f t="shared" si="24"/>
        <v>0.20729198501693902</v>
      </c>
      <c r="AB91" s="103"/>
      <c r="AC91" s="149">
        <f>SUM(Model_Mthly!$Q91,-IF(AND(leveraged_property,B91&lt;=amort_period),-PMT(AC$3/12,amort_period,loan_amount),0))</f>
        <v>187820.80207789913</v>
      </c>
      <c r="AD91" s="149">
        <f>AD90+IF(AND(leveraged_property,$B91&lt;=amort_period),PPMT(AD$3/12,$B91,amort_period,loan_amount),0)</f>
        <v>8261540.9571030913</v>
      </c>
      <c r="AE91" s="149">
        <f ca="1">SUM(AC91,Model_Mthly!$AA91,-AD91)</f>
        <v>26330931.462635737</v>
      </c>
      <c r="AF91" s="149">
        <f>SUM(Model_Mthly!$Q91,-IF(AND(leveraged_property,B91&lt;=amort_period),-PMT(AF$3/12,amort_period,loan_amount),0))</f>
        <v>186379.24485954212</v>
      </c>
      <c r="AG91" s="149">
        <f>AG90+IF(AND(leveraged_property,$B91&lt;=amort_period),PPMT(AG$3/12,$B91,amort_period,loan_amount),0)</f>
        <v>8306014.3686092282</v>
      </c>
      <c r="AH91" s="149">
        <f ca="1">SUM(AF91,Model_Mthly!$AA91,-AG91)</f>
        <v>26285016.493911244</v>
      </c>
      <c r="AI91" s="149">
        <f>SUM(Model_Mthly!$Q91,-IF(AND(leveraged_property,B91&lt;=amort_period),-PMT(AI$3/12,amort_period,loan_amount),0))</f>
        <v>184917.94734221543</v>
      </c>
      <c r="AJ91" s="149">
        <f>AJ90+IF(AND(leveraged_property,$B91&lt;=amort_period),PPMT(AJ$3/12,$B91,amort_period,loan_amount),0)</f>
        <v>8349330.9059445895</v>
      </c>
      <c r="AK91" s="149">
        <f ca="1">SUM(AI91,Model_Mthly!$AA91,-AJ91)</f>
        <v>26240238.65905856</v>
      </c>
      <c r="AL91" s="229">
        <f>SUM(Model_Mthly!$Q91,-IF(AND(leveraged_property,B91&lt;=amort_period),-PMT(AL$3/12,amort_period,loan_amount),0))</f>
        <v>183437.34391773003</v>
      </c>
      <c r="AM91" s="229">
        <f>AM90+IF(AND(leveraged_property,$B91&lt;=amort_period),PPMT(AM$3/12,$B91,amort_period,loan_amount),0)</f>
        <v>8391494.8455444127</v>
      </c>
      <c r="AN91" s="229">
        <f ca="1">SUM(AL91,Model_Mthly!$AA91,-AM91)</f>
        <v>26196594.116034247</v>
      </c>
      <c r="AO91" s="149">
        <f>SUM(Model_Mthly!$Q91,-IF(AND(leveraged_property,B91&lt;=amort_period),-PMT(AO$3/12,amort_period,loan_amount),0))</f>
        <v>181937.87768355783</v>
      </c>
      <c r="AP91" s="162">
        <f>AP90+IF(AND(leveraged_property,$B91&lt;=amort_period),PPMT(AP$3/12,$B91,amort_period,loan_amount),0)</f>
        <v>8432512.0391911324</v>
      </c>
      <c r="AQ91" s="149">
        <f ca="1">SUM(AO91,Model_Mthly!$AA91,-AP91)</f>
        <v>26154077.456153356</v>
      </c>
      <c r="AR91" s="149">
        <f>SUM(Model_Mthly!$Q91,-IF(AND(leveraged_property,B91&lt;=amort_period),-PMT(AR$3/12,amort_period,loan_amount),0))</f>
        <v>180419.99915618316</v>
      </c>
      <c r="AS91" s="162">
        <f>AS90+IF(AND(leveraged_property,$B91&lt;=amort_period),PPMT(AS$3/12,$B91,amort_period,loan_amount),0)</f>
        <v>8472389.8465224095</v>
      </c>
      <c r="AT91" s="149">
        <f ca="1">SUM(AR91,Model_Mthly!$AA91,-AS91)</f>
        <v>26112681.770294707</v>
      </c>
      <c r="AU91" s="149">
        <f>SUM(Model_Mthly!$Q91,-IF(AND(leveraged_property,B91&lt;=amort_period),-PMT(AU$3/12,amort_period,loan_amount),0))</f>
        <v>178884.16500518785</v>
      </c>
      <c r="AV91" s="162">
        <f>AV90+IF(AND(leveraged_property,$B91&lt;=amort_period),PPMT(AV$3/12,$B91,amort_period,loan_amount),0)</f>
        <v>8511137.0642610602</v>
      </c>
      <c r="AW91" s="149">
        <f ca="1">SUM(AU91,Model_Mthly!$AA91,-AV91)</f>
        <v>26072398.718405057</v>
      </c>
      <c r="AX91" s="103"/>
      <c r="AY91" s="288">
        <f ca="1">IF(AND(leveraged_property,down_payment&gt;0),IRR(($AC$4:AC90,AE91),),"N/A")</f>
        <v>1.7146750415043245E-2</v>
      </c>
      <c r="AZ91" s="288">
        <f ca="1">IF(AND(leveraged_property,down_payment&gt;0),IRR(($AF$4:AF90,AH91),),"N/A")</f>
        <v>1.7041188321659607E-2</v>
      </c>
      <c r="BA91" s="288">
        <f ca="1">IF(AND(leveraged_property,down_payment&gt;0),IRR(($AI$4:AI90,AK91),),"N/A")</f>
        <v>1.6934720279972643E-2</v>
      </c>
      <c r="BB91" s="303">
        <f ca="1">IF(AND(leveraged_property,down_payment&gt;0),IRR(($AL$4:AL90,AN91),),"N/A")</f>
        <v>1.6827379167426822E-2</v>
      </c>
      <c r="BC91" s="288">
        <f ca="1">IF(AND(leveraged_property,down_payment&gt;0),IRR(($AO$4:AO90,AQ91),),"N/A")</f>
        <v>1.6719197962150024E-2</v>
      </c>
      <c r="BD91" s="288">
        <f ca="1">IF(AND(leveraged_property,down_payment&gt;0),IRR(($AR$4:AR90,AT91),),"N/A")</f>
        <v>1.6610209661681804E-2</v>
      </c>
      <c r="BE91" s="288">
        <f ca="1">IF(AND(leveraged_property,down_payment&gt;0),IRR(($AU$4:AU90,AW91),),"N/A")</f>
        <v>1.6500447204624492E-2</v>
      </c>
      <c r="BF91" s="103"/>
      <c r="BG91" s="290">
        <f ca="1">IF(AND(leveraged_property,down_payment&gt;0),((1+AY91)^12)-1,"N/A")</f>
        <v>0.22631881454413438</v>
      </c>
      <c r="BH91" s="290">
        <f ca="1">IF(AND(leveraged_property,down_payment&gt;0),((1+AZ91)^12)-1,"N/A")</f>
        <v>0.22479243993342535</v>
      </c>
      <c r="BI91" s="290">
        <f ca="1">IF(AND(leveraged_property,down_payment&gt;0),((1+BA91)^12)-1,"N/A")</f>
        <v>0.22325472995568529</v>
      </c>
      <c r="BJ91" s="305">
        <f ca="1">IF(AND(leveraged_property,down_payment&gt;0),((1+BB91)^12)-1,"N/A")</f>
        <v>0.22170620198308755</v>
      </c>
      <c r="BK91" s="290">
        <f ca="1">IF(AND(leveraged_property,down_payment&gt;0),((1+BC91)^12)-1,"N/A")</f>
        <v>0.22014737290972275</v>
      </c>
      <c r="BL91" s="290">
        <f ca="1">IF(AND(leveraged_property,down_payment&gt;0),((1+BD91)^12)-1,"N/A")</f>
        <v>0.21857875793423842</v>
      </c>
      <c r="BM91" s="290">
        <f ca="1">IF(AND(leveraged_property,down_payment&gt;0),((1+BE91)^12)-1,"N/A")</f>
        <v>0.2170008693945622</v>
      </c>
    </row>
    <row r="92" spans="1:65">
      <c r="A92" s="137">
        <f>Model_Mthly!A92</f>
        <v>42840</v>
      </c>
      <c r="B92" s="138">
        <f>Model_Mthly!B92</f>
        <v>88</v>
      </c>
      <c r="C92" s="223"/>
      <c r="D92" s="139">
        <f>Model_Mthly!AQ92</f>
        <v>183419.62503896194</v>
      </c>
      <c r="E92" s="231">
        <f>IF(OR($H$3&lt;=0.0075,$H$3=""),0,SUM(Model_Mthly!AQ92,(SUM(Model_Mthly!Q93:Q104)/$E$3)*(1-cost_of_sale),-Model_Mthly!V92))</f>
        <v>30307741.971435975</v>
      </c>
      <c r="F92" s="231">
        <f>IF(OR($H$3&lt;=0.0075,$H$3=""),0,SUM(Model_Mthly!AQ92,(SUM(Model_Mthly!Q93:Q104)/$F$3)*(1-cost_of_sale),-Model_Mthly!V92))</f>
        <v>29024397.362940792</v>
      </c>
      <c r="G92" s="231">
        <f>IF(OR($H$3&lt;=0.0075,$H$3=""),0,SUM(Model_Mthly!AQ92,(SUM(Model_Mthly!Q93:Q104)/$G$3)*(1-cost_of_sale),-Model_Mthly!V92))</f>
        <v>27823849.180800136</v>
      </c>
      <c r="H92" s="232">
        <f>IF(OR($H$3&lt;=0.0075,$H$3=""),0,SUM(Model_Mthly!AQ92,(SUM(Model_Mthly!Q93:Q104)/$H$3)*(1-cost_of_sale),-Model_Mthly!V92))</f>
        <v>26698335.260043267</v>
      </c>
      <c r="I92" s="231">
        <f>IF(OR($H$3&lt;=0.0075,$H$3=""),0,SUM(Model_Mthly!AQ92,(SUM(Model_Mthly!Q93:Q104)/$I$3)*(1-cost_of_sale),-Model_Mthly!V92))</f>
        <v>25641034.30418076</v>
      </c>
      <c r="J92" s="231">
        <f>IF(OR($H$3&lt;=0.0075,$H$3=""),0,SUM(Model_Mthly!AQ92,(SUM(Model_Mthly!Q93:Q104)/$J$3)*(1-cost_of_sale),-Model_Mthly!V92))</f>
        <v>24645927.522192515</v>
      </c>
      <c r="K92" s="231">
        <f>IF(OR($H$3&lt;=0.0075,$H$3=""),0,SUM(Model_Mthly!AQ92,(SUM(Model_Mthly!Q93:Q104)/$K$3)*(1-cost_of_sale),-Model_Mthly!V92))</f>
        <v>23707683.98488931</v>
      </c>
      <c r="L92" s="160"/>
      <c r="M92" s="302">
        <f>IF(OR($H$3&lt;=0.0075,$H$3="",down_payment&lt;=0),"N/A",IRR(($D$4:D91,E92),))</f>
        <v>1.7985728468971167E-2</v>
      </c>
      <c r="N92" s="288">
        <f>IF(OR($H$3&lt;=0.0075,$H$3="",down_payment&lt;=0),"N/A",IRR(($D$4:D91,F92),))</f>
        <v>1.76141283010516E-2</v>
      </c>
      <c r="O92" s="288">
        <f>IF(OR($H$3&lt;=0.0075,$H$3="",down_payment&lt;=0),"N/A",IRR(($D$4:D91,G92),))</f>
        <v>1.7254347452383023E-2</v>
      </c>
      <c r="P92" s="303">
        <f>IF(OR($H$3&lt;=0.0075,$H$3="",down_payment&lt;=0),"N/A",IRR(($D$4:D91,H92),))</f>
        <v>1.6905611446247491E-2</v>
      </c>
      <c r="Q92" s="288">
        <f>IF(OR($H$3&lt;=0.0075,$H$3="",down_payment&lt;=0),"N/A",IRR(($D$4:D91,I92),))</f>
        <v>1.6567218127826435E-2</v>
      </c>
      <c r="R92" s="288">
        <f>IF(OR($H$3&lt;=0.0075,$H$3="",down_payment&lt;=0),"N/A",IRR(($D$4:D91,J92),))</f>
        <v>1.6238528951625354E-2</v>
      </c>
      <c r="S92" s="288">
        <f>IF(OR($H$3&lt;=0.0075,$H$3="",down_payment&lt;=0),"N/A",IRR(($D$4:D91,K92),))</f>
        <v>1.5918961539873541E-2</v>
      </c>
      <c r="T92" s="233"/>
      <c r="U92" s="304">
        <f t="shared" si="18"/>
        <v>0.23851215740506371</v>
      </c>
      <c r="V92" s="304">
        <f t="shared" si="19"/>
        <v>0.23309783654946314</v>
      </c>
      <c r="W92" s="304">
        <f t="shared" si="20"/>
        <v>0.22787640768562301</v>
      </c>
      <c r="X92" s="305">
        <f t="shared" si="21"/>
        <v>0.22283462141678156</v>
      </c>
      <c r="Y92" s="304">
        <f t="shared" si="22"/>
        <v>0.21796051051449816</v>
      </c>
      <c r="Z92" s="304">
        <f t="shared" si="23"/>
        <v>0.21324323129375866</v>
      </c>
      <c r="AA92" s="304">
        <f t="shared" si="24"/>
        <v>0.20867292862769138</v>
      </c>
      <c r="AB92" s="103"/>
      <c r="AC92" s="149">
        <f>SUM(Model_Mthly!$Q92,-IF(AND(leveraged_property,B92&lt;=amort_period),-PMT(AC$3/12,amort_period,loan_amount),0))</f>
        <v>187803.08319913104</v>
      </c>
      <c r="AD92" s="149">
        <f>AD91+IF(AND(leveraged_property,$B92&lt;=amort_period),PPMT(AD$3/12,$B92,amort_period,loan_amount),0)</f>
        <v>8244686.3930904949</v>
      </c>
      <c r="AE92" s="149">
        <f ca="1">SUM(AC92,Model_Mthly!$AA92,-AD92)</f>
        <v>26834048.23357147</v>
      </c>
      <c r="AF92" s="149">
        <f>SUM(Model_Mthly!$Q92,-IF(AND(leveraged_property,B92&lt;=amort_period),-PMT(AF$3/12,amort_period,loan_amount),0))</f>
        <v>186361.52598077402</v>
      </c>
      <c r="AG92" s="149">
        <f>AG91+IF(AND(leveraged_property,$B92&lt;=amort_period),PPMT(AG$3/12,$B92,amort_period,loan_amount),0)</f>
        <v>8289624.7076256135</v>
      </c>
      <c r="AH92" s="149">
        <f ca="1">SUM(AF92,Model_Mthly!$AA92,-AG92)</f>
        <v>26787668.361817993</v>
      </c>
      <c r="AI92" s="149">
        <f>SUM(Model_Mthly!$Q92,-IF(AND(leveraged_property,B92&lt;=amort_period),-PMT(AI$3/12,amort_period,loan_amount),0))</f>
        <v>184900.22846344733</v>
      </c>
      <c r="AJ92" s="149">
        <f>AJ91+IF(AND(leveraged_property,$B92&lt;=amort_period),PPMT(AJ$3/12,$B92,amort_period,loan_amount),0)</f>
        <v>8333399.876954617</v>
      </c>
      <c r="AK92" s="149">
        <f ca="1">SUM(AI92,Model_Mthly!$AA92,-AJ92)</f>
        <v>26742431.894971669</v>
      </c>
      <c r="AL92" s="229">
        <f>SUM(Model_Mthly!$Q92,-IF(AND(leveraged_property,B92&lt;=amort_period),-PMT(AL$3/12,amort_period,loan_amount),0))</f>
        <v>183419.62503896194</v>
      </c>
      <c r="AM92" s="229">
        <f>AM91+IF(AND(leveraged_property,$B92&lt;=amort_period),PPMT(AM$3/12,$B92,amort_period,loan_amount),0)</f>
        <v>8376015.9084585262</v>
      </c>
      <c r="AN92" s="229">
        <f ca="1">SUM(AL92,Model_Mthly!$AA92,-AM92)</f>
        <v>26698335.260043267</v>
      </c>
      <c r="AO92" s="149">
        <f>SUM(Model_Mthly!$Q92,-IF(AND(leveraged_property,B92&lt;=amort_period),-PMT(AO$3/12,amort_period,loan_amount),0))</f>
        <v>181920.15880478974</v>
      </c>
      <c r="AP92" s="162">
        <f>AP91+IF(AND(leveraged_property,$B92&lt;=amort_period),PPMT(AP$3/12,$B92,amort_period,loan_amount),0)</f>
        <v>8417478.4046834521</v>
      </c>
      <c r="AQ92" s="149">
        <f ca="1">SUM(AO92,Model_Mthly!$AA92,-AP92)</f>
        <v>26655373.297584172</v>
      </c>
      <c r="AR92" s="149">
        <f>SUM(Model_Mthly!$Q92,-IF(AND(leveraged_property,B92&lt;=amort_period),-PMT(AR$3/12,amort_period,loan_amount),0))</f>
        <v>180402.28027741506</v>
      </c>
      <c r="AS92" s="162">
        <f>AS91+IF(AND(leveraged_property,$B92&lt;=amort_period),PPMT(AS$3/12,$B92,amort_period,loan_amount),0)</f>
        <v>8457794.4958655089</v>
      </c>
      <c r="AT92" s="149">
        <f ca="1">SUM(AR92,Model_Mthly!$AA92,-AS92)</f>
        <v>26613539.327874742</v>
      </c>
      <c r="AU92" s="149">
        <f>SUM(Model_Mthly!$Q92,-IF(AND(leveraged_property,B92&lt;=amort_period),-PMT(AU$3/12,amort_period,loan_amount),0))</f>
        <v>178866.44612641976</v>
      </c>
      <c r="AV92" s="162">
        <f>AV91+IF(AND(leveraged_property,$B92&lt;=amort_period),PPMT(AV$3/12,$B92,amort_period,loan_amount),0)</f>
        <v>8496972.7690969128</v>
      </c>
      <c r="AW92" s="149">
        <f ca="1">SUM(AU92,Model_Mthly!$AA92,-AV92)</f>
        <v>26572825.220492341</v>
      </c>
      <c r="AX92" s="103"/>
      <c r="AY92" s="288">
        <f ca="1">IF(AND(leveraged_property,down_payment&gt;0),IRR(($AC$4:AC91,AE92),),"N/A")</f>
        <v>1.7222300302375097E-2</v>
      </c>
      <c r="AZ92" s="288">
        <f ca="1">IF(AND(leveraged_property,down_payment&gt;0),IRR(($AF$4:AF91,AH92),),"N/A")</f>
        <v>1.7117629863695631E-2</v>
      </c>
      <c r="BA92" s="288">
        <f ca="1">IF(AND(leveraged_property,down_payment&gt;0),IRR(($AI$4:AI91,AK92),),"N/A")</f>
        <v>1.701205597592691E-2</v>
      </c>
      <c r="BB92" s="303">
        <f ca="1">IF(AND(leveraged_property,down_payment&gt;0),IRR(($AL$4:AL91,AN92),),"N/A")</f>
        <v>1.6905611446247491E-2</v>
      </c>
      <c r="BC92" s="288">
        <f ca="1">IF(AND(leveraged_property,down_payment&gt;0),IRR(($AO$4:AO91,AQ92),),"N/A")</f>
        <v>1.6798329186512789E-2</v>
      </c>
      <c r="BD92" s="288">
        <f ca="1">IF(AND(leveraged_property,down_payment&gt;0),IRR(($AR$4:AR91,AT92),),"N/A")</f>
        <v>1.6690242132006858E-2</v>
      </c>
      <c r="BE92" s="288">
        <f ca="1">IF(AND(leveraged_property,down_payment&gt;0),IRR(($AU$4:AU91,AW92),),"N/A")</f>
        <v>1.6581383163102651E-2</v>
      </c>
      <c r="BF92" s="103"/>
      <c r="BG92" s="290">
        <f ca="1">IF(AND(leveraged_property,down_payment&gt;0),((1+AY92)^12)-1,"N/A")</f>
        <v>0.22741229812924568</v>
      </c>
      <c r="BH92" s="290">
        <f ca="1">IF(AND(leveraged_property,down_payment&gt;0),((1+AZ92)^12)-1,"N/A")</f>
        <v>0.22589757199654215</v>
      </c>
      <c r="BI92" s="290">
        <f ca="1">IF(AND(leveraged_property,down_payment&gt;0),((1+BA92)^12)-1,"N/A")</f>
        <v>0.22437150764733182</v>
      </c>
      <c r="BJ92" s="305">
        <f ca="1">IF(AND(leveraged_property,down_payment&gt;0),((1+BB92)^12)-1,"N/A")</f>
        <v>0.22283462141678156</v>
      </c>
      <c r="BK92" s="290">
        <f ca="1">IF(AND(leveraged_property,down_payment&gt;0),((1+BC92)^12)-1,"N/A")</f>
        <v>0.22128742924209721</v>
      </c>
      <c r="BL92" s="290">
        <f ca="1">IF(AND(leveraged_property,down_payment&gt;0),((1+BD92)^12)-1,"N/A")</f>
        <v>0.21973044544433917</v>
      </c>
      <c r="BM92" s="290">
        <f ca="1">IF(AND(leveraged_property,down_payment&gt;0),((1+BE92)^12)-1,"N/A")</f>
        <v>0.21816418156204875</v>
      </c>
    </row>
    <row r="93" spans="1:65">
      <c r="A93" s="137">
        <f>Model_Mthly!A93</f>
        <v>42870</v>
      </c>
      <c r="B93" s="138">
        <f>Model_Mthly!B93</f>
        <v>89</v>
      </c>
      <c r="C93" s="223"/>
      <c r="D93" s="139">
        <f>Model_Mthly!AQ93</f>
        <v>177497.93203240065</v>
      </c>
      <c r="E93" s="231">
        <f>IF(OR($H$3&lt;=0.0075,$H$3=""),0,SUM(Model_Mthly!AQ93,(SUM(Model_Mthly!Q94:Q105)/$E$3)*(1-cost_of_sale),-Model_Mthly!V93))</f>
        <v>30850818.451025695</v>
      </c>
      <c r="F93" s="231">
        <f>IF(OR($H$3&lt;=0.0075,$H$3=""),0,SUM(Model_Mthly!AQ93,(SUM(Model_Mthly!Q94:Q105)/$F$3)*(1-cost_of_sale),-Model_Mthly!V93))</f>
        <v>29549692.232851103</v>
      </c>
      <c r="G93" s="231">
        <f>IF(OR($H$3&lt;=0.0075,$H$3=""),0,SUM(Model_Mthly!AQ93,(SUM(Model_Mthly!Q94:Q105)/$G$3)*(1-cost_of_sale),-Model_Mthly!V93))</f>
        <v>28332509.641655527</v>
      </c>
      <c r="H93" s="232">
        <f>IF(OR($H$3&lt;=0.0075,$H$3=""),0,SUM(Model_Mthly!AQ93,(SUM(Model_Mthly!Q94:Q105)/$H$3)*(1-cost_of_sale),-Model_Mthly!V93))</f>
        <v>27191400.962409668</v>
      </c>
      <c r="I93" s="231">
        <f>IF(OR($H$3&lt;=0.0075,$H$3=""),0,SUM(Model_Mthly!AQ93,(SUM(Model_Mthly!Q94:Q105)/$I$3)*(1-cost_of_sale),-Model_Mthly!V93))</f>
        <v>26119450.384936281</v>
      </c>
      <c r="J93" s="231">
        <f>IF(OR($H$3&lt;=0.0075,$H$3=""),0,SUM(Model_Mthly!AQ93,(SUM(Model_Mthly!Q94:Q105)/$J$3)*(1-cost_of_sale),-Model_Mthly!V93))</f>
        <v>25110555.723784864</v>
      </c>
      <c r="K93" s="231">
        <f>IF(OR($H$3&lt;=0.0075,$H$3=""),0,SUM(Model_Mthly!AQ93,(SUM(Model_Mthly!Q94:Q105)/$K$3)*(1-cost_of_sale),-Model_Mthly!V93))</f>
        <v>24159312.186127812</v>
      </c>
      <c r="L93" s="160"/>
      <c r="M93" s="302">
        <f>IF(OR($H$3&lt;=0.0075,$H$3="",down_payment&lt;=0),"N/A",IRR(($D$4:D92,E93),))</f>
        <v>1.8036800600480549E-2</v>
      </c>
      <c r="N93" s="288">
        <f>IF(OR($H$3&lt;=0.0075,$H$3="",down_payment&lt;=0),"N/A",IRR(($D$4:D92,F93),))</f>
        <v>1.7671607346470417E-2</v>
      </c>
      <c r="O93" s="288">
        <f>IF(OR($H$3&lt;=0.0075,$H$3="",down_payment&lt;=0),"N/A",IRR(($D$4:D92,G93),))</f>
        <v>1.7318095264615915E-2</v>
      </c>
      <c r="P93" s="303">
        <f>IF(OR($H$3&lt;=0.0075,$H$3="",down_payment&lt;=0),"N/A",IRR(($D$4:D92,H93),))</f>
        <v>1.6975499493678638E-2</v>
      </c>
      <c r="Q93" s="288">
        <f>IF(OR($H$3&lt;=0.0075,$H$3="",down_payment&lt;=0),"N/A",IRR(($D$4:D92,I93),))</f>
        <v>1.6643126615920337E-2</v>
      </c>
      <c r="R93" s="288">
        <f>IF(OR($H$3&lt;=0.0075,$H$3="",down_payment&lt;=0),"N/A",IRR(($D$4:D92,J93),))</f>
        <v>1.6320346050133626E-2</v>
      </c>
      <c r="S93" s="288">
        <f>IF(OR($H$3&lt;=0.0075,$H$3="",down_payment&lt;=0),"N/A",IRR(($D$4:D92,K93),))</f>
        <v>1.6006582700283028E-2</v>
      </c>
      <c r="T93" s="233"/>
      <c r="U93" s="304">
        <f t="shared" si="18"/>
        <v>0.23925799394125669</v>
      </c>
      <c r="V93" s="304">
        <f t="shared" si="19"/>
        <v>0.23393390170606687</v>
      </c>
      <c r="W93" s="304">
        <f t="shared" si="20"/>
        <v>0.22880008722417267</v>
      </c>
      <c r="X93" s="305">
        <f t="shared" si="21"/>
        <v>0.22384349186935437</v>
      </c>
      <c r="Y93" s="304">
        <f t="shared" si="22"/>
        <v>0.21905232050448142</v>
      </c>
      <c r="Z93" s="304">
        <f t="shared" si="23"/>
        <v>0.21441588520611066</v>
      </c>
      <c r="AA93" s="304">
        <f t="shared" si="24"/>
        <v>0.20992447227394684</v>
      </c>
      <c r="AB93" s="103"/>
      <c r="AC93" s="149">
        <f>SUM(Model_Mthly!$Q93,-IF(AND(leveraged_property,B93&lt;=amort_period),-PMT(AC$3/12,amort_period,loan_amount),0))</f>
        <v>181881.39019256976</v>
      </c>
      <c r="AD93" s="149">
        <f>AD92+IF(AND(leveraged_property,$B93&lt;=amort_period),PPMT(AD$3/12,$B93,amort_period,loan_amount),0)</f>
        <v>8227765.1130953487</v>
      </c>
      <c r="AE93" s="149">
        <f ca="1">SUM(AC93,Model_Mthly!$AA93,-AD93)</f>
        <v>27328485.333718814</v>
      </c>
      <c r="AF93" s="149">
        <f>SUM(Model_Mthly!$Q93,-IF(AND(leveraged_property,B93&lt;=amort_period),-PMT(AF$3/12,amort_period,loan_amount),0))</f>
        <v>180439.83297421277</v>
      </c>
      <c r="AG93" s="149">
        <f>AG92+IF(AND(leveraged_property,$B93&lt;=amort_period),PPMT(AG$3/12,$B93,amort_period,loan_amount),0)</f>
        <v>8273166.7563879006</v>
      </c>
      <c r="AH93" s="149">
        <f ca="1">SUM(AF93,Model_Mthly!$AA93,-AG93)</f>
        <v>27281642.133207906</v>
      </c>
      <c r="AI93" s="149">
        <f>SUM(Model_Mthly!$Q93,-IF(AND(leveraged_property,B93&lt;=amort_period),-PMT(AI$3/12,amort_period,loan_amount),0))</f>
        <v>178978.53545688605</v>
      </c>
      <c r="AJ93" s="149">
        <f>AJ92+IF(AND(leveraged_property,$B93&lt;=amort_period),PPMT(AJ$3/12,$B93,amort_period,loan_amount),0)</f>
        <v>8317399.1497128131</v>
      </c>
      <c r="AK93" s="149">
        <f ca="1">SUM(AI93,Model_Mthly!$AA93,-AJ93)</f>
        <v>27235948.442365672</v>
      </c>
      <c r="AL93" s="229">
        <f>SUM(Model_Mthly!$Q93,-IF(AND(leveraged_property,B93&lt;=amort_period),-PMT(AL$3/12,amort_period,loan_amount),0))</f>
        <v>177497.93203240065</v>
      </c>
      <c r="AM93" s="229">
        <f>AM92+IF(AND(leveraged_property,$B93&lt;=amort_period),PPMT(AM$3/12,$B93,amort_period,loan_amount),0)</f>
        <v>8360466.0262443293</v>
      </c>
      <c r="AN93" s="229">
        <f ca="1">SUM(AL93,Model_Mthly!$AA93,-AM93)</f>
        <v>27191400.962409668</v>
      </c>
      <c r="AO93" s="149">
        <f>SUM(Model_Mthly!$Q93,-IF(AND(leveraged_property,B93&lt;=amort_period),-PMT(AO$3/12,amort_period,loan_amount),0))</f>
        <v>175998.46579822846</v>
      </c>
      <c r="AP93" s="162">
        <f>AP92+IF(AND(leveraged_property,$B93&lt;=amort_period),PPMT(AP$3/12,$B93,amort_period,loan_amount),0)</f>
        <v>8402372.7340104226</v>
      </c>
      <c r="AQ93" s="149">
        <f ca="1">SUM(AO93,Model_Mthly!$AA93,-AP93)</f>
        <v>27147994.788409404</v>
      </c>
      <c r="AR93" s="149">
        <f>SUM(Model_Mthly!$Q93,-IF(AND(leveraged_property,B93&lt;=amort_period),-PMT(AR$3/12,amort_period,loan_amount),0))</f>
        <v>174480.58727085378</v>
      </c>
      <c r="AS93" s="162">
        <f>AS92+IF(AND(leveraged_property,$B93&lt;=amort_period),PPMT(AS$3/12,$B93,amort_period,loan_amount),0)</f>
        <v>8443126.1684553251</v>
      </c>
      <c r="AT93" s="149">
        <f ca="1">SUM(AR93,Model_Mthly!$AA93,-AS93)</f>
        <v>27105723.475437127</v>
      </c>
      <c r="AU93" s="149">
        <f>SUM(Model_Mthly!$Q93,-IF(AND(leveraged_property,B93&lt;=amort_period),-PMT(AU$3/12,amort_period,loan_amount),0))</f>
        <v>172944.75311985851</v>
      </c>
      <c r="AV93" s="162">
        <f>AV92+IF(AND(leveraged_property,$B93&lt;=amort_period),PPMT(AV$3/12,$B93,amort_period,loan_amount),0)</f>
        <v>8482734.7015621178</v>
      </c>
      <c r="AW93" s="149">
        <f ca="1">SUM(AU93,Model_Mthly!$AA93,-AV93)</f>
        <v>27064579.108179335</v>
      </c>
      <c r="AX93" s="103"/>
      <c r="AY93" s="288">
        <f ca="1">IF(AND(leveraged_property,down_payment&gt;0),IRR(($AC$4:AC92,AE93),),"N/A")</f>
        <v>1.7289642092890516E-2</v>
      </c>
      <c r="AZ93" s="288">
        <f ca="1">IF(AND(leveraged_property,down_payment&gt;0),IRR(($AF$4:AF92,AH93),),"N/A")</f>
        <v>1.7185818097647246E-2</v>
      </c>
      <c r="BA93" s="288">
        <f ca="1">IF(AND(leveraged_property,down_payment&gt;0),IRR(($AI$4:AI92,AK93),),"N/A")</f>
        <v>1.7081092983510793E-2</v>
      </c>
      <c r="BB93" s="303">
        <f ca="1">IF(AND(leveraged_property,down_payment&gt;0),IRR(($AL$4:AL92,AN93),),"N/A")</f>
        <v>1.6975499493678638E-2</v>
      </c>
      <c r="BC93" s="288">
        <f ca="1">IF(AND(leveraged_property,down_payment&gt;0),IRR(($AO$4:AO92,AQ93),),"N/A")</f>
        <v>1.6869070479872524E-2</v>
      </c>
      <c r="BD93" s="288">
        <f ca="1">IF(AND(leveraged_property,down_payment&gt;0),IRR(($AR$4:AR92,AT93),),"N/A")</f>
        <v>1.6761838821108717E-2</v>
      </c>
      <c r="BE93" s="288">
        <f ca="1">IF(AND(leveraged_property,down_payment&gt;0),IRR(($AU$4:AU92,AW93),),"N/A")</f>
        <v>1.6653837345352425E-2</v>
      </c>
      <c r="BF93" s="103"/>
      <c r="BG93" s="290">
        <f ca="1">IF(AND(leveraged_property,down_payment&gt;0),((1+AY93)^12)-1,"N/A")</f>
        <v>0.22838773381512145</v>
      </c>
      <c r="BH93" s="290">
        <f ca="1">IF(AND(leveraged_property,down_payment&gt;0),((1+AZ93)^12)-1,"N/A")</f>
        <v>0.22688415546111362</v>
      </c>
      <c r="BI93" s="290">
        <f ca="1">IF(AND(leveraged_property,down_payment&gt;0),((1+BA93)^12)-1,"N/A")</f>
        <v>0.22536923635679362</v>
      </c>
      <c r="BJ93" s="305">
        <f ca="1">IF(AND(leveraged_property,down_payment&gt;0),((1+BB93)^12)-1,"N/A")</f>
        <v>0.22384349186935437</v>
      </c>
      <c r="BK93" s="290">
        <f ca="1">IF(AND(leveraged_property,down_payment&gt;0),((1+BC93)^12)-1,"N/A")</f>
        <v>0.22230743704482836</v>
      </c>
      <c r="BL93" s="290">
        <f ca="1">IF(AND(leveraged_property,down_payment&gt;0),((1+BD93)^12)-1,"N/A")</f>
        <v>0.22076158538905988</v>
      </c>
      <c r="BM93" s="290">
        <f ca="1">IF(AND(leveraged_property,down_payment&gt;0),((1+BE93)^12)-1,"N/A")</f>
        <v>0.2192064477001443</v>
      </c>
    </row>
    <row r="94" spans="1:65">
      <c r="A94" s="137">
        <f>Model_Mthly!A94</f>
        <v>42901</v>
      </c>
      <c r="B94" s="138">
        <f>Model_Mthly!B94</f>
        <v>90</v>
      </c>
      <c r="C94" s="223"/>
      <c r="D94" s="139">
        <f>Model_Mthly!AQ94</f>
        <v>168910.07114771768</v>
      </c>
      <c r="E94" s="231">
        <f>IF(OR($H$3&lt;=0.0075,$H$3=""),0,SUM(Model_Mthly!AQ94,(SUM(Model_Mthly!Q95:Q106)/$E$3)*(1-cost_of_sale),-Model_Mthly!V94))</f>
        <v>31389153.009426951</v>
      </c>
      <c r="F94" s="231">
        <f>IF(OR($H$3&lt;=0.0075,$H$3=""),0,SUM(Model_Mthly!AQ94,(SUM(Model_Mthly!Q95:Q106)/$F$3)*(1-cost_of_sale),-Model_Mthly!V94))</f>
        <v>30070316.749026425</v>
      </c>
      <c r="G94" s="231">
        <f>IF(OR($H$3&lt;=0.0075,$H$3=""),0,SUM(Model_Mthly!AQ94,(SUM(Model_Mthly!Q95:Q106)/$G$3)*(1-cost_of_sale),-Model_Mthly!V94))</f>
        <v>28836566.698974311</v>
      </c>
      <c r="H94" s="232">
        <f>IF(OR($H$3&lt;=0.0075,$H$3=""),0,SUM(Model_Mthly!AQ94,(SUM(Model_Mthly!Q95:Q106)/$H$3)*(1-cost_of_sale),-Model_Mthly!V94))</f>
        <v>27679926.027050465</v>
      </c>
      <c r="I94" s="231">
        <f>IF(OR($H$3&lt;=0.0075,$H$3=""),0,SUM(Model_Mthly!AQ94,(SUM(Model_Mthly!Q95:Q106)/$I$3)*(1-cost_of_sale),-Model_Mthly!V94))</f>
        <v>26593384.789788663</v>
      </c>
      <c r="J94" s="231">
        <f>IF(OR($H$3&lt;=0.0075,$H$3=""),0,SUM(Model_Mthly!AQ94,(SUM(Model_Mthly!Q95:Q106)/$J$3)*(1-cost_of_sale),-Model_Mthly!V94))</f>
        <v>25570757.742954023</v>
      </c>
      <c r="K94" s="231">
        <f>IF(OR($H$3&lt;=0.0075,$H$3=""),0,SUM(Model_Mthly!AQ94,(SUM(Model_Mthly!Q95:Q106)/$K$3)*(1-cost_of_sale),-Model_Mthly!V94))</f>
        <v>24606566.527367081</v>
      </c>
      <c r="L94" s="160"/>
      <c r="M94" s="302">
        <f>IF(OR($H$3&lt;=0.0075,$H$3="",down_payment&lt;=0),"N/A",IRR(($D$4:D93,E94),))</f>
        <v>1.8080402119234149E-2</v>
      </c>
      <c r="N94" s="288">
        <f>IF(OR($H$3&lt;=0.0075,$H$3="",down_payment&lt;=0),"N/A",IRR(($D$4:D93,F94),))</f>
        <v>1.7721331715765086E-2</v>
      </c>
      <c r="O94" s="288">
        <f>IF(OR($H$3&lt;=0.0075,$H$3="",down_payment&lt;=0),"N/A",IRR(($D$4:D93,G94),))</f>
        <v>1.73738062088203E-2</v>
      </c>
      <c r="P94" s="303">
        <f>IF(OR($H$3&lt;=0.0075,$H$3="",down_payment&lt;=0),"N/A",IRR(($D$4:D93,H94),))</f>
        <v>1.7037070116602576E-2</v>
      </c>
      <c r="Q94" s="288">
        <f>IF(OR($H$3&lt;=0.0075,$H$3="",down_payment&lt;=0),"N/A",IRR(($D$4:D93,I94),))</f>
        <v>1.6710438541806923E-2</v>
      </c>
      <c r="R94" s="288">
        <f>IF(OR($H$3&lt;=0.0075,$H$3="",down_payment&lt;=0),"N/A",IRR(($D$4:D93,J94),))</f>
        <v>1.6393288667869679E-2</v>
      </c>
      <c r="S94" s="288">
        <f>IF(OR($H$3&lt;=0.0075,$H$3="",down_payment&lt;=0),"N/A",IRR(($D$4:D93,K94),))</f>
        <v>1.6085052495820498E-2</v>
      </c>
      <c r="T94" s="233"/>
      <c r="U94" s="304">
        <f t="shared" si="18"/>
        <v>0.23989505846269266</v>
      </c>
      <c r="V94" s="304">
        <f t="shared" si="19"/>
        <v>0.23465758988902907</v>
      </c>
      <c r="W94" s="304">
        <f t="shared" si="20"/>
        <v>0.22960783736103263</v>
      </c>
      <c r="X94" s="305">
        <f t="shared" si="21"/>
        <v>0.22473292807709644</v>
      </c>
      <c r="Y94" s="304">
        <f t="shared" si="22"/>
        <v>0.22002123451493816</v>
      </c>
      <c r="Z94" s="304">
        <f t="shared" si="23"/>
        <v>0.21546222044526897</v>
      </c>
      <c r="AA94" s="304">
        <f t="shared" si="24"/>
        <v>0.21104630988491557</v>
      </c>
      <c r="AB94" s="103"/>
      <c r="AC94" s="149">
        <f>SUM(Model_Mthly!$Q94,-IF(AND(leveraged_property,B94&lt;=amort_period),-PMT(AC$3/12,amort_period,loan_amount),0))</f>
        <v>173293.52930788678</v>
      </c>
      <c r="AD94" s="149">
        <f>AD93+IF(AND(leveraged_property,$B94&lt;=amort_period),PPMT(AD$3/12,$B94,amort_period,loan_amount),0)</f>
        <v>8210776.8530335547</v>
      </c>
      <c r="AE94" s="149">
        <f ca="1">SUM(AC94,Model_Mthly!$AA94,-AD94)</f>
        <v>27818377.505913731</v>
      </c>
      <c r="AF94" s="149">
        <f>SUM(Model_Mthly!$Q94,-IF(AND(leveraged_property,B94&lt;=amort_period),-PMT(AF$3/12,amort_period,loan_amount),0))</f>
        <v>171851.97208952979</v>
      </c>
      <c r="AG94" s="149">
        <f>AG93+IF(AND(leveraged_property,$B94&lt;=amort_period),PPMT(AG$3/12,$B94,amort_period,loan_amount),0)</f>
        <v>8256640.2303533638</v>
      </c>
      <c r="AH94" s="149">
        <f ca="1">SUM(AF94,Model_Mthly!$AA94,-AG94)</f>
        <v>27771072.571375564</v>
      </c>
      <c r="AI94" s="149">
        <f>SUM(Model_Mthly!$Q94,-IF(AND(leveraged_property,B94&lt;=amort_period),-PMT(AI$3/12,amort_period,loan_amount),0))</f>
        <v>170390.67457220308</v>
      </c>
      <c r="AJ94" s="149">
        <f>AJ93+IF(AND(leveraged_property,$B94&lt;=amort_period),PPMT(AJ$3/12,$B94,amort_period,loan_amount),0)</f>
        <v>8301328.4192893263</v>
      </c>
      <c r="AK94" s="149">
        <f ca="1">SUM(AI94,Model_Mthly!$AA94,-AJ94)</f>
        <v>27724923.084922269</v>
      </c>
      <c r="AL94" s="229">
        <f>SUM(Model_Mthly!$Q94,-IF(AND(leveraged_property,B94&lt;=amort_period),-PMT(AL$3/12,amort_period,loan_amount),0))</f>
        <v>168910.07114771768</v>
      </c>
      <c r="AM94" s="229">
        <f>AM93+IF(AND(leveraged_property,$B94&lt;=amort_period),PPMT(AM$3/12,$B94,amort_period,loan_amount),0)</f>
        <v>8344844.8737366507</v>
      </c>
      <c r="AN94" s="229">
        <f ca="1">SUM(AL94,Model_Mthly!$AA94,-AM94)</f>
        <v>27679926.027050465</v>
      </c>
      <c r="AO94" s="149">
        <f>SUM(Model_Mthly!$Q94,-IF(AND(leveraged_property,B94&lt;=amort_period),-PMT(AO$3/12,amort_period,loan_amount),0))</f>
        <v>167410.60491354548</v>
      </c>
      <c r="AP94" s="162">
        <f>AP93+IF(AND(leveraged_property,$B94&lt;=amort_period),PPMT(AP$3/12,$B94,amort_period,loan_amount),0)</f>
        <v>8387194.6819987521</v>
      </c>
      <c r="AQ94" s="149">
        <f ca="1">SUM(AO94,Model_Mthly!$AA94,-AP94)</f>
        <v>27636076.752554193</v>
      </c>
      <c r="AR94" s="149">
        <f>SUM(Model_Mthly!$Q94,-IF(AND(leveraged_property,B94&lt;=amort_period),-PMT(AR$3/12,amort_period,loan_amount),0))</f>
        <v>165892.72638617081</v>
      </c>
      <c r="AS94" s="162">
        <f>AS93+IF(AND(leveraged_property,$B94&lt;=amort_period),PPMT(AS$3/12,$B94,amort_period,loan_amount),0)</f>
        <v>8428384.4994080905</v>
      </c>
      <c r="AT94" s="149">
        <f ca="1">SUM(AR94,Model_Mthly!$AA94,-AS94)</f>
        <v>27593369.056617476</v>
      </c>
      <c r="AU94" s="149">
        <f>SUM(Model_Mthly!$Q94,-IF(AND(leveraged_property,B94&lt;=amort_period),-PMT(AU$3/12,amort_period,loan_amount),0))</f>
        <v>164356.89223517553</v>
      </c>
      <c r="AV94" s="162">
        <f>AV93+IF(AND(leveraged_property,$B94&lt;=amort_period),PPMT(AV$3/12,$B94,amort_period,loan_amount),0)</f>
        <v>8468422.477425579</v>
      </c>
      <c r="AW94" s="149">
        <f ca="1">SUM(AU94,Model_Mthly!$AA94,-AV94)</f>
        <v>27551795.244448993</v>
      </c>
      <c r="AX94" s="103"/>
      <c r="AY94" s="288">
        <f ca="1">IF(AND(leveraged_property,down_payment&gt;0),IRR(($AC$4:AC93,AE94),),"N/A")</f>
        <v>1.7348801844558351E-2</v>
      </c>
      <c r="AZ94" s="288">
        <f ca="1">IF(AND(leveraged_property,down_payment&gt;0),IRR(($AF$4:AF93,AH94),),"N/A")</f>
        <v>1.7245779340444228E-2</v>
      </c>
      <c r="BA94" s="288">
        <f ca="1">IF(AND(leveraged_property,down_payment&gt;0),IRR(($AI$4:AI93,AK94),),"N/A")</f>
        <v>1.7141857869184932E-2</v>
      </c>
      <c r="BB94" s="303">
        <f ca="1">IF(AND(leveraged_property,down_payment&gt;0),IRR(($AL$4:AL93,AN94),),"N/A")</f>
        <v>1.7037070116602576E-2</v>
      </c>
      <c r="BC94" s="288">
        <f ca="1">IF(AND(leveraged_property,down_payment&gt;0),IRR(($AO$4:AO93,AQ94),),"N/A")</f>
        <v>1.6931448880761604E-2</v>
      </c>
      <c r="BD94" s="288">
        <f ca="1">IF(AND(leveraged_property,down_payment&gt;0),IRR(($AR$4:AR93,AT94),),"N/A")</f>
        <v>1.6825026990740222E-2</v>
      </c>
      <c r="BE94" s="288">
        <f ca="1">IF(AND(leveraged_property,down_payment&gt;0),IRR(($AU$4:AU93,AW94),),"N/A")</f>
        <v>1.6717837228272314E-2</v>
      </c>
      <c r="BF94" s="103"/>
      <c r="BG94" s="290">
        <f ca="1">IF(AND(leveraged_property,down_payment&gt;0),((1+AY94)^12)-1,"N/A")</f>
        <v>0.22924524017556314</v>
      </c>
      <c r="BH94" s="290">
        <f ca="1">IF(AND(leveraged_property,down_payment&gt;0),((1+AZ94)^12)-1,"N/A")</f>
        <v>0.22775230780622957</v>
      </c>
      <c r="BI94" s="290">
        <f ca="1">IF(AND(leveraged_property,down_payment&gt;0),((1+BA94)^12)-1,"N/A")</f>
        <v>0.22624803228216805</v>
      </c>
      <c r="BJ94" s="305">
        <f ca="1">IF(AND(leveraged_property,down_payment&gt;0),((1+BB94)^12)-1,"N/A")</f>
        <v>0.22473292807709644</v>
      </c>
      <c r="BK94" s="290">
        <f ca="1">IF(AND(leveraged_property,down_payment&gt;0),((1+BC94)^12)-1,"N/A")</f>
        <v>0.22320750941722656</v>
      </c>
      <c r="BL94" s="290">
        <f ca="1">IF(AND(leveraged_property,down_payment&gt;0),((1+BD94)^12)-1,"N/A")</f>
        <v>0.22167228906126102</v>
      </c>
      <c r="BM94" s="290">
        <f ca="1">IF(AND(leveraged_property,down_payment&gt;0),((1+BE94)^12)-1,"N/A")</f>
        <v>0.22012777713168075</v>
      </c>
    </row>
    <row r="95" spans="1:65">
      <c r="A95" s="137">
        <f>Model_Mthly!A95</f>
        <v>42931</v>
      </c>
      <c r="B95" s="138">
        <f>Model_Mthly!B95</f>
        <v>91</v>
      </c>
      <c r="C95" s="223"/>
      <c r="D95" s="139">
        <f>Model_Mthly!AQ95</f>
        <v>166501.20542098052</v>
      </c>
      <c r="E95" s="231">
        <f>IF(OR($H$3&lt;=0.0075,$H$3=""),0,SUM(Model_Mthly!AQ95,(SUM(Model_Mthly!Q96:Q107)/$E$3)*(1-cost_of_sale),-Model_Mthly!V95))</f>
        <v>31926319.522777665</v>
      </c>
      <c r="F95" s="231">
        <f>IF(OR($H$3&lt;=0.0075,$H$3=""),0,SUM(Model_Mthly!AQ95,(SUM(Model_Mthly!Q96:Q107)/$F$3)*(1-cost_of_sale),-Model_Mthly!V95))</f>
        <v>30590020.508056443</v>
      </c>
      <c r="G95" s="231">
        <f>IF(OR($H$3&lt;=0.0075,$H$3=""),0,SUM(Model_Mthly!AQ95,(SUM(Model_Mthly!Q96:Q107)/$G$3)*(1-cost_of_sale),-Model_Mthly!V95))</f>
        <v>29339934.332994651</v>
      </c>
      <c r="H95" s="232">
        <f>IF(OR($H$3&lt;=0.0075,$H$3=""),0,SUM(Model_Mthly!AQ95,(SUM(Model_Mthly!Q96:Q107)/$H$3)*(1-cost_of_sale),-Model_Mthly!V95))</f>
        <v>28167978.543874223</v>
      </c>
      <c r="I95" s="231">
        <f>IF(OR($H$3&lt;=0.0075,$H$3=""),0,SUM(Model_Mthly!AQ95,(SUM(Model_Mthly!Q96:Q107)/$I$3)*(1-cost_of_sale),-Model_Mthly!V95))</f>
        <v>27067050.378336851</v>
      </c>
      <c r="J95" s="231">
        <f>IF(OR($H$3&lt;=0.0075,$H$3=""),0,SUM(Model_Mthly!AQ95,(SUM(Model_Mthly!Q96:Q107)/$J$3)*(1-cost_of_sale),-Model_Mthly!V95))</f>
        <v>26030882.693125214</v>
      </c>
      <c r="K95" s="231">
        <f>IF(OR($H$3&lt;=0.0075,$H$3=""),0,SUM(Model_Mthly!AQ95,(SUM(Model_Mthly!Q96:Q107)/$K$3)*(1-cost_of_sale),-Model_Mthly!V95))</f>
        <v>25053924.589925662</v>
      </c>
      <c r="L95" s="160"/>
      <c r="M95" s="302">
        <f>IF(OR($H$3&lt;=0.0075,$H$3="",down_payment&lt;=0),"N/A",IRR(($D$4:D94,E95),))</f>
        <v>1.8117255233300458E-2</v>
      </c>
      <c r="N95" s="288">
        <f>IF(OR($H$3&lt;=0.0075,$H$3="",down_payment&lt;=0),"N/A",IRR(($D$4:D94,F95),))</f>
        <v>1.7764096979027141E-2</v>
      </c>
      <c r="O95" s="288">
        <f>IF(OR($H$3&lt;=0.0075,$H$3="",down_payment&lt;=0),"N/A",IRR(($D$4:D94,G95),))</f>
        <v>1.7422349433065934E-2</v>
      </c>
      <c r="P95" s="303">
        <f>IF(OR($H$3&lt;=0.0075,$H$3="",down_payment&lt;=0),"N/A",IRR(($D$4:D94,H95),))</f>
        <v>1.7091266277372542E-2</v>
      </c>
      <c r="Q95" s="288">
        <f>IF(OR($H$3&lt;=0.0075,$H$3="",down_payment&lt;=0),"N/A",IRR(($D$4:D94,I95),))</f>
        <v>1.6770170937785212E-2</v>
      </c>
      <c r="R95" s="288">
        <f>IF(OR($H$3&lt;=0.0075,$H$3="",down_payment&lt;=0),"N/A",IRR(($D$4:D94,J95),))</f>
        <v>1.645844818124299E-2</v>
      </c>
      <c r="S95" s="288">
        <f>IF(OR($H$3&lt;=0.0075,$H$3="",down_payment&lt;=0),"N/A",IRR(($D$4:D94,K95),))</f>
        <v>1.615553693892164E-2</v>
      </c>
      <c r="T95" s="233"/>
      <c r="U95" s="304">
        <f t="shared" si="18"/>
        <v>0.24043375570921843</v>
      </c>
      <c r="V95" s="304">
        <f t="shared" si="19"/>
        <v>0.2352803064597293</v>
      </c>
      <c r="W95" s="304">
        <f t="shared" si="20"/>
        <v>0.2303120598825521</v>
      </c>
      <c r="X95" s="305">
        <f t="shared" si="21"/>
        <v>0.22551632465375504</v>
      </c>
      <c r="Y95" s="304">
        <f t="shared" si="22"/>
        <v>0.22088163694131491</v>
      </c>
      <c r="Z95" s="304">
        <f t="shared" si="23"/>
        <v>0.21639760865341251</v>
      </c>
      <c r="AA95" s="304">
        <f t="shared" si="24"/>
        <v>0.21205479828899221</v>
      </c>
      <c r="AB95" s="103"/>
      <c r="AC95" s="149">
        <f>SUM(Model_Mthly!$Q95,-IF(AND(leveraged_property,B95&lt;=amort_period),-PMT(AC$3/12,amort_period,loan_amount),0))</f>
        <v>170884.66358114962</v>
      </c>
      <c r="AD95" s="149">
        <f>AD94+IF(AND(leveraged_property,$B95&lt;=amort_period),PPMT(AD$3/12,$B95,amort_period,loan_amount),0)</f>
        <v>8193721.3477756828</v>
      </c>
      <c r="AE95" s="149">
        <f ca="1">SUM(AC95,Model_Mthly!$AA95,-AD95)</f>
        <v>28307792.778538689</v>
      </c>
      <c r="AF95" s="149">
        <f>SUM(Model_Mthly!$Q95,-IF(AND(leveraged_property,B95&lt;=amort_period),-PMT(AF$3/12,amort_period,loan_amount),0))</f>
        <v>169443.10636279261</v>
      </c>
      <c r="AG95" s="149">
        <f>AG94+IF(AND(leveraged_property,$B95&lt;=amort_period),PPMT(AG$3/12,$B95,amort_period,loan_amount),0)</f>
        <v>8240044.8437936828</v>
      </c>
      <c r="AH95" s="149">
        <f ca="1">SUM(AF95,Model_Mthly!$AA95,-AG95)</f>
        <v>28260027.725302331</v>
      </c>
      <c r="AI95" s="149">
        <f>SUM(Model_Mthly!$Q95,-IF(AND(leveraged_property,B95&lt;=amort_period),-PMT(AI$3/12,amort_period,loan_amount),0))</f>
        <v>167981.80884546592</v>
      </c>
      <c r="AJ95" s="149">
        <f>AJ94+IF(AND(leveraged_property,$B95&lt;=amort_period),PPMT(AJ$3/12,$B95,amort_period,loan_amount),0)</f>
        <v>8285187.3794202376</v>
      </c>
      <c r="AK95" s="149">
        <f ca="1">SUM(AI95,Model_Mthly!$AA95,-AJ95)</f>
        <v>28213423.892158456</v>
      </c>
      <c r="AL95" s="229">
        <f>SUM(Model_Mthly!$Q95,-IF(AND(leveraged_property,B95&lt;=amort_period),-PMT(AL$3/12,amort_period,loan_amount),0))</f>
        <v>166501.20542098052</v>
      </c>
      <c r="AM95" s="229">
        <f>AM94+IF(AND(leveraged_property,$B95&lt;=amort_period),PPMT(AM$3/12,$B95,amort_period,loan_amount),0)</f>
        <v>8329152.1242799787</v>
      </c>
      <c r="AN95" s="229">
        <f ca="1">SUM(AL95,Model_Mthly!$AA95,-AM95)</f>
        <v>28167978.543874223</v>
      </c>
      <c r="AO95" s="149">
        <f>SUM(Model_Mthly!$Q95,-IF(AND(leveraged_property,B95&lt;=amort_period),-PMT(AO$3/12,amort_period,loan_amount),0))</f>
        <v>165001.73918680832</v>
      </c>
      <c r="AP95" s="162">
        <f>AP94+IF(AND(leveraged_property,$B95&lt;=amort_period),PPMT(AP$3/12,$B95,amort_period,loan_amount),0)</f>
        <v>8371943.9018211924</v>
      </c>
      <c r="AQ95" s="149">
        <f ca="1">SUM(AO95,Model_Mthly!$AA95,-AP95)</f>
        <v>28123687.30009884</v>
      </c>
      <c r="AR95" s="149">
        <f>SUM(Model_Mthly!$Q95,-IF(AND(leveraged_property,B95&lt;=amort_period),-PMT(AR$3/12,amort_period,loan_amount),0))</f>
        <v>163483.86065943365</v>
      </c>
      <c r="AS95" s="162">
        <f>AS94+IF(AND(leveraged_property,$B95&lt;=amort_period),PPMT(AS$3/12,$B95,amort_period,loan_amount),0)</f>
        <v>8413569.1220156197</v>
      </c>
      <c r="AT95" s="149">
        <f ca="1">SUM(AR95,Model_Mthly!$AA95,-AS95)</f>
        <v>28080544.201377042</v>
      </c>
      <c r="AU95" s="149">
        <f>SUM(Model_Mthly!$Q95,-IF(AND(leveraged_property,B95&lt;=amort_period),-PMT(AU$3/12,amort_period,loan_amount),0))</f>
        <v>161948.02650843834</v>
      </c>
      <c r="AV95" s="162">
        <f>AV94+IF(AND(leveraged_property,$B95&lt;=amort_period),PPMT(AV$3/12,$B95,amort_period,loan_amount),0)</f>
        <v>8454035.7104549967</v>
      </c>
      <c r="AW95" s="149">
        <f ca="1">SUM(AU95,Model_Mthly!$AA95,-AV95)</f>
        <v>28038541.778786663</v>
      </c>
      <c r="AX95" s="103"/>
      <c r="AY95" s="288">
        <f ca="1">IF(AND(leveraged_property,down_payment&gt;0),IRR(($AC$4:AC94,AE95),),"N/A")</f>
        <v>1.7400707772917665E-2</v>
      </c>
      <c r="AZ95" s="288">
        <f ca="1">IF(AND(leveraged_property,down_payment&gt;0),IRR(($AF$4:AF94,AH95),),"N/A")</f>
        <v>1.729844669249549E-2</v>
      </c>
      <c r="BA95" s="288">
        <f ca="1">IF(AND(leveraged_property,down_payment&gt;0),IRR(($AI$4:AI94,AK95),),"N/A")</f>
        <v>1.7195288649247936E-2</v>
      </c>
      <c r="BB95" s="303">
        <f ca="1">IF(AND(leveraged_property,down_payment&gt;0),IRR(($AL$4:AL94,AN95),),"N/A")</f>
        <v>1.7091266277372542E-2</v>
      </c>
      <c r="BC95" s="288">
        <f ca="1">IF(AND(leveraged_property,down_payment&gt;0),IRR(($AO$4:AO94,AQ95),),"N/A")</f>
        <v>1.6986412326903396E-2</v>
      </c>
      <c r="BD95" s="288">
        <f ca="1">IF(AND(leveraged_property,down_payment&gt;0),IRR(($AR$4:AR94,AT95),),"N/A")</f>
        <v>1.6880759582471934E-2</v>
      </c>
      <c r="BE95" s="288">
        <f ca="1">IF(AND(leveraged_property,down_payment&gt;0),IRR(($AU$4:AU94,AW95),),"N/A")</f>
        <v>1.6774340784927524E-2</v>
      </c>
      <c r="BF95" s="103"/>
      <c r="BG95" s="290">
        <f ca="1">IF(AND(leveraged_property,down_payment&gt;0),((1+AY95)^12)-1,"N/A")</f>
        <v>0.22999805599954293</v>
      </c>
      <c r="BH95" s="290">
        <f ca="1">IF(AND(leveraged_property,down_payment&gt;0),((1+AZ95)^12)-1,"N/A")</f>
        <v>0.22851531962624505</v>
      </c>
      <c r="BI95" s="290">
        <f ca="1">IF(AND(leveraged_property,down_payment&gt;0),((1+BA95)^12)-1,"N/A")</f>
        <v>0.22702123796281692</v>
      </c>
      <c r="BJ95" s="305">
        <f ca="1">IF(AND(leveraged_property,down_payment&gt;0),((1+BB95)^12)-1,"N/A")</f>
        <v>0.22551632465375504</v>
      </c>
      <c r="BK95" s="290">
        <f ca="1">IF(AND(leveraged_property,down_payment&gt;0),((1+BC95)^12)-1,"N/A")</f>
        <v>0.2240010931667531</v>
      </c>
      <c r="BL95" s="290">
        <f ca="1">IF(AND(leveraged_property,down_payment&gt;0),((1+BD95)^12)-1,"N/A")</f>
        <v>0.22247605557171735</v>
      </c>
      <c r="BM95" s="290">
        <f ca="1">IF(AND(leveraged_property,down_payment&gt;0),((1+BE95)^12)-1,"N/A")</f>
        <v>0.22094172137079471</v>
      </c>
    </row>
    <row r="96" spans="1:65">
      <c r="A96" s="137">
        <f>Model_Mthly!A96</f>
        <v>42962</v>
      </c>
      <c r="B96" s="138">
        <f>Model_Mthly!B96</f>
        <v>92</v>
      </c>
      <c r="C96" s="223"/>
      <c r="D96" s="139">
        <f>Model_Mthly!AQ96</f>
        <v>183419.62503896194</v>
      </c>
      <c r="E96" s="231">
        <f>IF(OR($H$3&lt;=0.0075,$H$3=""),0,SUM(Model_Mthly!AQ96,(SUM(Model_Mthly!Q97:Q108)/$E$3)*(1-cost_of_sale),-Model_Mthly!V96))</f>
        <v>32495587.362666447</v>
      </c>
      <c r="F96" s="231">
        <f>IF(OR($H$3&lt;=0.0075,$H$3=""),0,SUM(Model_Mthly!AQ96,(SUM(Model_Mthly!Q97:Q108)/$F$3)*(1-cost_of_sale),-Model_Mthly!V96))</f>
        <v>31141402.18975481</v>
      </c>
      <c r="G96" s="231">
        <f>IF(OR($H$3&lt;=0.0075,$H$3=""),0,SUM(Model_Mthly!AQ96,(SUM(Model_Mthly!Q97:Q108)/$G$3)*(1-cost_of_sale),-Model_Mthly!V96))</f>
        <v>29874583.802192304</v>
      </c>
      <c r="H96" s="232">
        <f>IF(OR($H$3&lt;=0.0075,$H$3=""),0,SUM(Model_Mthly!AQ96,(SUM(Model_Mthly!Q97:Q108)/$H$3)*(1-cost_of_sale),-Model_Mthly!V96))</f>
        <v>28686941.563852463</v>
      </c>
      <c r="I96" s="231">
        <f>IF(OR($H$3&lt;=0.0075,$H$3=""),0,SUM(Model_Mthly!AQ96,(SUM(Model_Mthly!Q97:Q108)/$I$3)*(1-cost_of_sale),-Model_Mthly!V96))</f>
        <v>27571277.642987762</v>
      </c>
      <c r="J96" s="231">
        <f>IF(OR($H$3&lt;=0.0075,$H$3=""),0,SUM(Model_Mthly!AQ96,(SUM(Model_Mthly!Q97:Q108)/$J$3)*(1-cost_of_sale),-Model_Mthly!V96))</f>
        <v>26521241.011585694</v>
      </c>
      <c r="K96" s="231">
        <f>IF(OR($H$3&lt;=0.0075,$H$3=""),0,SUM(Model_Mthly!AQ96,(SUM(Model_Mthly!Q97:Q108)/$K$3)*(1-cost_of_sale),-Model_Mthly!V96))</f>
        <v>25531206.473406594</v>
      </c>
      <c r="L96" s="160"/>
      <c r="M96" s="302">
        <f>IF(OR($H$3&lt;=0.0075,$H$3="",down_payment&lt;=0),"N/A",IRR(($D$4:D95,E96),))</f>
        <v>1.8157766566817082E-2</v>
      </c>
      <c r="N96" s="288">
        <f>IF(OR($H$3&lt;=0.0075,$H$3="",down_payment&lt;=0),"N/A",IRR(($D$4:D95,F96),))</f>
        <v>1.7810492709678188E-2</v>
      </c>
      <c r="O96" s="288">
        <f>IF(OR($H$3&lt;=0.0075,$H$3="",down_payment&lt;=0),"N/A",IRR(($D$4:D95,G96),))</f>
        <v>1.7474498274854543E-2</v>
      </c>
      <c r="P96" s="303">
        <f>IF(OR($H$3&lt;=0.0075,$H$3="",down_payment&lt;=0),"N/A",IRR(($D$4:D95,H96),))</f>
        <v>1.7149045905267883E-2</v>
      </c>
      <c r="Q96" s="288">
        <f>IF(OR($H$3&lt;=0.0075,$H$3="",down_payment&lt;=0),"N/A",IRR(($D$4:D95,I96),))</f>
        <v>1.6833467165741682E-2</v>
      </c>
      <c r="R96" s="288">
        <f>IF(OR($H$3&lt;=0.0075,$H$3="",down_payment&lt;=0),"N/A",IRR(($D$4:D95,J96),))</f>
        <v>1.6527154238922204E-2</v>
      </c>
      <c r="S96" s="288">
        <f>IF(OR($H$3&lt;=0.0075,$H$3="",down_payment&lt;=0),"N/A",IRR(($D$4:D95,K96),))</f>
        <v>1.622955283276184E-2</v>
      </c>
      <c r="T96" s="233"/>
      <c r="U96" s="304">
        <f t="shared" si="18"/>
        <v>0.24102617420587236</v>
      </c>
      <c r="V96" s="304">
        <f t="shared" si="19"/>
        <v>0.23595621284016732</v>
      </c>
      <c r="W96" s="304">
        <f t="shared" si="20"/>
        <v>0.23106900145042708</v>
      </c>
      <c r="X96" s="305">
        <f t="shared" si="21"/>
        <v>0.2263520255370346</v>
      </c>
      <c r="Y96" s="304">
        <f t="shared" si="22"/>
        <v>0.22179398077874657</v>
      </c>
      <c r="Z96" s="304">
        <f t="shared" si="23"/>
        <v>0.2173846234543948</v>
      </c>
      <c r="AA96" s="304">
        <f t="shared" si="24"/>
        <v>0.21311464313912221</v>
      </c>
      <c r="AB96" s="103"/>
      <c r="AC96" s="149">
        <f>SUM(Model_Mthly!$Q96,-IF(AND(leveraged_property,B96&lt;=amort_period),-PMT(AC$3/12,amort_period,loan_amount),0))</f>
        <v>187803.08319913104</v>
      </c>
      <c r="AD96" s="149">
        <f>AD95+IF(AND(leveraged_property,$B96&lt;=amort_period),PPMT(AD$3/12,$B96,amort_period,loan_amount),0)</f>
        <v>8176598.3311428325</v>
      </c>
      <c r="AE96" s="149">
        <f ca="1">SUM(AC96,Model_Mthly!$AA96,-AD96)</f>
        <v>28828114.140591431</v>
      </c>
      <c r="AF96" s="149">
        <f>SUM(Model_Mthly!$Q96,-IF(AND(leveraged_property,B96&lt;=amort_period),-PMT(AF$3/12,amort_period,loan_amount),0))</f>
        <v>186361.52598077402</v>
      </c>
      <c r="AG96" s="149">
        <f>AG95+IF(AND(leveraged_property,$B96&lt;=amort_period),PPMT(AG$3/12,$B96,amort_period,loan_amount),0)</f>
        <v>8223380.3097900031</v>
      </c>
      <c r="AH96" s="149">
        <f ca="1">SUM(AF96,Model_Mthly!$AA96,-AG96)</f>
        <v>28779890.604725901</v>
      </c>
      <c r="AI96" s="149">
        <f>SUM(Model_Mthly!$Q96,-IF(AND(leveraged_property,B96&lt;=amort_period),-PMT(AI$3/12,amort_period,loan_amount),0))</f>
        <v>184900.22846344733</v>
      </c>
      <c r="AJ96" s="149">
        <f>AJ95+IF(AND(leveraged_property,$B96&lt;=amort_period),PPMT(AJ$3/12,$B96,amort_period,loan_amount),0)</f>
        <v>8268975.7225017212</v>
      </c>
      <c r="AK96" s="149">
        <f ca="1">SUM(AI96,Model_Mthly!$AA96,-AJ96)</f>
        <v>28732833.894496862</v>
      </c>
      <c r="AL96" s="229">
        <f>SUM(Model_Mthly!$Q96,-IF(AND(leveraged_property,B96&lt;=amort_period),-PMT(AL$3/12,amort_period,loan_amount),0))</f>
        <v>183419.62503896194</v>
      </c>
      <c r="AM96" s="229">
        <f>AM95+IF(AND(leveraged_property,$B96&lt;=amort_period),PPMT(AM$3/12,$B96,amort_period,loan_amount),0)</f>
        <v>8313387.4497216297</v>
      </c>
      <c r="AN96" s="229">
        <f ca="1">SUM(AL96,Model_Mthly!$AA96,-AM96)</f>
        <v>28686941.563852463</v>
      </c>
      <c r="AO96" s="149">
        <f>SUM(Model_Mthly!$Q96,-IF(AND(leveraged_property,B96&lt;=amort_period),-PMT(AO$3/12,amort_period,loan_amount),0))</f>
        <v>181920.15880478974</v>
      </c>
      <c r="AP96" s="162">
        <f>AP95+IF(AND(leveraged_property,$B96&lt;=amort_period),PPMT(AP$3/12,$B96,amort_period,loan_amount),0)</f>
        <v>8356620.0449886145</v>
      </c>
      <c r="AQ96" s="149">
        <f ca="1">SUM(AO96,Model_Mthly!$AA96,-AP96)</f>
        <v>28642209.50235131</v>
      </c>
      <c r="AR96" s="149">
        <f>SUM(Model_Mthly!$Q96,-IF(AND(leveraged_property,B96&lt;=amort_period),-PMT(AR$3/12,amort_period,loan_amount),0))</f>
        <v>180402.28027741506</v>
      </c>
      <c r="AS96" s="162">
        <f>AS95+IF(AND(leveraged_property,$B96&lt;=amort_period),PPMT(AS$3/12,$B96,amort_period,loan_amount),0)</f>
        <v>8398679.6677361857</v>
      </c>
      <c r="AT96" s="149">
        <f ca="1">SUM(AR96,Model_Mthly!$AA96,-AS96)</f>
        <v>28598632.001076363</v>
      </c>
      <c r="AU96" s="149">
        <f>SUM(Model_Mthly!$Q96,-IF(AND(leveraged_property,B96&lt;=amort_period),-PMT(AU$3/12,amort_period,loan_amount),0))</f>
        <v>178866.44612641976</v>
      </c>
      <c r="AV96" s="162">
        <f>AV95+IF(AND(leveraged_property,$B96&lt;=amort_period),PPMT(AV$3/12,$B96,amort_period,loan_amount),0)</f>
        <v>8439574.0124064423</v>
      </c>
      <c r="AW96" s="149">
        <f ca="1">SUM(AU96,Model_Mthly!$AA96,-AV96)</f>
        <v>28556201.822255109</v>
      </c>
      <c r="AX96" s="103"/>
      <c r="AY96" s="288">
        <f ca="1">IF(AND(leveraged_property,down_payment&gt;0),IRR(($AC$4:AC95,AE96),),"N/A")</f>
        <v>1.7456151458321106E-2</v>
      </c>
      <c r="AZ96" s="288">
        <f ca="1">IF(AND(leveraged_property,down_payment&gt;0),IRR(($AF$4:AF95,AH96),),"N/A")</f>
        <v>1.7354666723928151E-2</v>
      </c>
      <c r="BA96" s="288">
        <f ca="1">IF(AND(leveraged_property,down_payment&gt;0),IRR(($AI$4:AI95,AK96),),"N/A")</f>
        <v>1.725228734805373E-2</v>
      </c>
      <c r="BB96" s="303">
        <f ca="1">IF(AND(leveraged_property,down_payment&gt;0),IRR(($AL$4:AL95,AN96),),"N/A")</f>
        <v>1.7149045905267883E-2</v>
      </c>
      <c r="BC96" s="288">
        <f ca="1">IF(AND(leveraged_property,down_payment&gt;0),IRR(($AO$4:AO95,AQ96),),"N/A")</f>
        <v>1.7044975089388775E-2</v>
      </c>
      <c r="BD96" s="288">
        <f ca="1">IF(AND(leveraged_property,down_payment&gt;0),IRR(($AR$4:AR95,AT96),),"N/A")</f>
        <v>1.694010763226398E-2</v>
      </c>
      <c r="BE96" s="288">
        <f ca="1">IF(AND(leveraged_property,down_payment&gt;0),IRR(($AU$4:AU95,AW96),),"N/A")</f>
        <v>1.6834476225390499E-2</v>
      </c>
      <c r="BF96" s="103"/>
      <c r="BG96" s="290">
        <f ca="1">IF(AND(leveraged_property,down_payment&gt;0),((1+AY96)^12)-1,"N/A")</f>
        <v>0.23080264834998054</v>
      </c>
      <c r="BH96" s="290">
        <f ca="1">IF(AND(leveraged_property,down_payment&gt;0),((1+AZ96)^12)-1,"N/A")</f>
        <v>0.22933028007880929</v>
      </c>
      <c r="BI96" s="290">
        <f ca="1">IF(AND(leveraged_property,down_payment&gt;0),((1+BA96)^12)-1,"N/A")</f>
        <v>0.22784656824181693</v>
      </c>
      <c r="BJ96" s="305">
        <f ca="1">IF(AND(leveraged_property,down_payment&gt;0),((1+BB96)^12)-1,"N/A")</f>
        <v>0.2263520255370346</v>
      </c>
      <c r="BK96" s="290">
        <f ca="1">IF(AND(leveraged_property,down_payment&gt;0),((1+BC96)^12)-1,"N/A")</f>
        <v>0.22484716455444276</v>
      </c>
      <c r="BL96" s="290">
        <f ca="1">IF(AND(leveraged_property,down_payment&gt;0),((1+BD96)^12)-1,"N/A")</f>
        <v>0.22333249655438858</v>
      </c>
      <c r="BM96" s="290">
        <f ca="1">IF(AND(leveraged_property,down_payment&gt;0),((1+BE96)^12)-1,"N/A")</f>
        <v>0.22180853029672143</v>
      </c>
    </row>
    <row r="97" spans="1:65">
      <c r="A97" s="137">
        <f>Model_Mthly!A97</f>
        <v>42993</v>
      </c>
      <c r="B97" s="138">
        <f>Model_Mthly!B97</f>
        <v>93</v>
      </c>
      <c r="C97" s="223"/>
      <c r="D97" s="139">
        <f>Model_Mthly!AQ97</f>
        <v>183419.62503896194</v>
      </c>
      <c r="E97" s="231">
        <f>IF(OR($H$3&lt;=0.0075,$H$3=""),0,SUM(Model_Mthly!AQ97,(SUM(Model_Mthly!Q98:Q109)/$E$3)*(1-cost_of_sale),-Model_Mthly!V97))</f>
        <v>33048009.037695631</v>
      </c>
      <c r="F97" s="231">
        <f>IF(OR($H$3&lt;=0.0075,$H$3=""),0,SUM(Model_Mthly!AQ97,(SUM(Model_Mthly!Q98:Q109)/$F$3)*(1-cost_of_sale),-Model_Mthly!V97))</f>
        <v>31675937.706593573</v>
      </c>
      <c r="G97" s="231">
        <f>IF(OR($H$3&lt;=0.0075,$H$3=""),0,SUM(Model_Mthly!AQ97,(SUM(Model_Mthly!Q98:Q109)/$G$3)*(1-cost_of_sale),-Model_Mthly!V97))</f>
        <v>30392387.106530368</v>
      </c>
      <c r="H97" s="232">
        <f>IF(OR($H$3&lt;=0.0075,$H$3=""),0,SUM(Model_Mthly!AQ97,(SUM(Model_Mthly!Q98:Q109)/$H$3)*(1-cost_of_sale),-Model_Mthly!V97))</f>
        <v>29189058.418971106</v>
      </c>
      <c r="I97" s="231">
        <f>IF(OR($H$3&lt;=0.0075,$H$3=""),0,SUM(Model_Mthly!AQ97,(SUM(Model_Mthly!Q98:Q109)/$I$3)*(1-cost_of_sale),-Model_Mthly!V97))</f>
        <v>28058658.742779076</v>
      </c>
      <c r="J97" s="231">
        <f>IF(OR($H$3&lt;=0.0075,$H$3=""),0,SUM(Model_Mthly!AQ97,(SUM(Model_Mthly!Q98:Q109)/$J$3)*(1-cost_of_sale),-Model_Mthly!V97))</f>
        <v>26994753.165186569</v>
      </c>
      <c r="K97" s="231">
        <f>IF(OR($H$3&lt;=0.0075,$H$3=""),0,SUM(Model_Mthly!AQ97,(SUM(Model_Mthly!Q98:Q109)/$K$3)*(1-cost_of_sale),-Model_Mthly!V97))</f>
        <v>25991642.192027926</v>
      </c>
      <c r="L97" s="160"/>
      <c r="M97" s="302">
        <f>IF(OR($H$3&lt;=0.0075,$H$3="",down_payment&lt;=0),"N/A",IRR(($D$4:D96,E97),))</f>
        <v>1.819433239567363E-2</v>
      </c>
      <c r="N97" s="288">
        <f>IF(OR($H$3&lt;=0.0075,$H$3="",down_payment&lt;=0),"N/A",IRR(($D$4:D96,F97),))</f>
        <v>1.7852763991335133E-2</v>
      </c>
      <c r="O97" s="288">
        <f>IF(OR($H$3&lt;=0.0075,$H$3="",down_payment&lt;=0),"N/A",IRR(($D$4:D96,G97),))</f>
        <v>1.7522345822222622E-2</v>
      </c>
      <c r="P97" s="303">
        <f>IF(OR($H$3&lt;=0.0075,$H$3="",down_payment&lt;=0),"N/A",IRR(($D$4:D96,H97),))</f>
        <v>1.7202349289694271E-2</v>
      </c>
      <c r="Q97" s="288">
        <f>IF(OR($H$3&lt;=0.0075,$H$3="",down_payment&lt;=0),"N/A",IRR(($D$4:D96,I97),))</f>
        <v>1.689211391257996E-2</v>
      </c>
      <c r="R97" s="288">
        <f>IF(OR($H$3&lt;=0.0075,$H$3="",down_payment&lt;=0),"N/A",IRR(($D$4:D96,J97),))</f>
        <v>1.6591039119669096E-2</v>
      </c>
      <c r="S97" s="288">
        <f>IF(OR($H$3&lt;=0.0075,$H$3="",down_payment&lt;=0),"N/A",IRR(($D$4:D96,K97),))</f>
        <v>1.6298577239710222E-2</v>
      </c>
      <c r="T97" s="233"/>
      <c r="U97" s="304">
        <f t="shared" si="18"/>
        <v>0.24156111820130488</v>
      </c>
      <c r="V97" s="304">
        <f t="shared" si="19"/>
        <v>0.23657232818952023</v>
      </c>
      <c r="W97" s="304">
        <f t="shared" si="20"/>
        <v>0.23176388514287782</v>
      </c>
      <c r="X97" s="305">
        <f t="shared" si="21"/>
        <v>0.22712344708589893</v>
      </c>
      <c r="Y97" s="304">
        <f t="shared" si="22"/>
        <v>0.22263986532828328</v>
      </c>
      <c r="Z97" s="304">
        <f t="shared" si="23"/>
        <v>0.21830303700601106</v>
      </c>
      <c r="AA97" s="304">
        <f t="shared" si="24"/>
        <v>0.21410377957747162</v>
      </c>
      <c r="AB97" s="103"/>
      <c r="AC97" s="149">
        <f>SUM(Model_Mthly!$Q97,-IF(AND(leveraged_property,B97&lt;=amort_period),-PMT(AC$3/12,amort_period,loan_amount),0))</f>
        <v>187803.08319913104</v>
      </c>
      <c r="AD97" s="149">
        <f>AD96+IF(AND(leveraged_property,$B97&lt;=amort_period),PPMT(AD$3/12,$B97,amort_period,loan_amount),0)</f>
        <v>8159407.5359024769</v>
      </c>
      <c r="AE97" s="149">
        <f ca="1">SUM(AC97,Model_Mthly!$AA97,-AD97)</f>
        <v>29331584.861633688</v>
      </c>
      <c r="AF97" s="149">
        <f>SUM(Model_Mthly!$Q97,-IF(AND(leveraged_property,B97&lt;=amort_period),-PMT(AF$3/12,amort_period,loan_amount),0))</f>
        <v>186361.52598077402</v>
      </c>
      <c r="AG97" s="149">
        <f>AG96+IF(AND(leveraged_property,$B97&lt;=amort_period),PPMT(AG$3/12,$B97,amort_period,loan_amount),0)</f>
        <v>8206646.3402279746</v>
      </c>
      <c r="AH97" s="149">
        <f ca="1">SUM(AF97,Model_Mthly!$AA97,-AG97)</f>
        <v>29282904.500089832</v>
      </c>
      <c r="AI97" s="149">
        <f>SUM(Model_Mthly!$Q97,-IF(AND(leveraged_property,B97&lt;=amort_period),-PMT(AI$3/12,amort_period,loan_amount),0))</f>
        <v>184900.22846344733</v>
      </c>
      <c r="AJ97" s="149">
        <f>AJ96+IF(AND(leveraged_property,$B97&lt;=amort_period),PPMT(AJ$3/12,$B97,amort_period,loan_amount),0)</f>
        <v>8252693.1395841865</v>
      </c>
      <c r="AK97" s="149">
        <f ca="1">SUM(AI97,Model_Mthly!$AA97,-AJ97)</f>
        <v>29235396.403216299</v>
      </c>
      <c r="AL97" s="229">
        <f>SUM(Model_Mthly!$Q97,-IF(AND(leveraged_property,B97&lt;=amort_period),-PMT(AL$3/12,amort_period,loan_amount),0))</f>
        <v>183419.62503896194</v>
      </c>
      <c r="AM97" s="229">
        <f>AM96+IF(AND(leveraged_property,$B97&lt;=amort_period),PPMT(AM$3/12,$B97,amort_period,loan_amount),0)</f>
        <v>8297550.5204048883</v>
      </c>
      <c r="AN97" s="229">
        <f ca="1">SUM(AL97,Model_Mthly!$AA97,-AM97)</f>
        <v>29189058.418971106</v>
      </c>
      <c r="AO97" s="149">
        <f>SUM(Model_Mthly!$Q97,-IF(AND(leveraged_property,B97&lt;=amort_period),-PMT(AO$3/12,amort_period,loan_amount),0))</f>
        <v>181920.15880478974</v>
      </c>
      <c r="AP97" s="162">
        <f>AP96+IF(AND(leveraged_property,$B97&lt;=amort_period),PPMT(AP$3/12,$B97,amort_period,loan_amount),0)</f>
        <v>8341222.7613420477</v>
      </c>
      <c r="AQ97" s="149">
        <f ca="1">SUM(AO97,Model_Mthly!$AA97,-AP97)</f>
        <v>29143886.711799778</v>
      </c>
      <c r="AR97" s="149">
        <f>SUM(Model_Mthly!$Q97,-IF(AND(leveraged_property,B97&lt;=amort_period),-PMT(AR$3/12,amort_period,loan_amount),0))</f>
        <v>180402.28027741506</v>
      </c>
      <c r="AS97" s="162">
        <f>AS96+IF(AND(leveraged_property,$B97&lt;=amort_period),PPMT(AS$3/12,$B97,amort_period,loan_amount),0)</f>
        <v>8383715.7661853544</v>
      </c>
      <c r="AT97" s="149">
        <f ca="1">SUM(AR97,Model_Mthly!$AA97,-AS97)</f>
        <v>29099875.828429099</v>
      </c>
      <c r="AU97" s="149">
        <f>SUM(Model_Mthly!$Q97,-IF(AND(leveraged_property,B97&lt;=amort_period),-PMT(AU$3/12,amort_period,loan_amount),0))</f>
        <v>178866.44612641976</v>
      </c>
      <c r="AV97" s="162">
        <f>AV96+IF(AND(leveraged_property,$B97&lt;=amort_period),PPMT(AV$3/12,$B97,amort_period,loan_amount),0)</f>
        <v>8425036.9930138849</v>
      </c>
      <c r="AW97" s="149">
        <f ca="1">SUM(AU97,Model_Mthly!$AA97,-AV97)</f>
        <v>29057018.767449569</v>
      </c>
      <c r="AX97" s="103"/>
      <c r="AY97" s="288">
        <f ca="1">IF(AND(leveraged_property,down_payment&gt;0),IRR(($AC$4:AC96,AE97),),"N/A")</f>
        <v>1.7507197156170426E-2</v>
      </c>
      <c r="AZ97" s="288">
        <f ca="1">IF(AND(leveraged_property,down_payment&gt;0),IRR(($AF$4:AF96,AH97),),"N/A")</f>
        <v>1.740646272700129E-2</v>
      </c>
      <c r="BA97" s="288">
        <f ca="1">IF(AND(leveraged_property,down_payment&gt;0),IRR(($AI$4:AI96,AK97),),"N/A")</f>
        <v>1.7304835932379543E-2</v>
      </c>
      <c r="BB97" s="303">
        <f ca="1">IF(AND(leveraged_property,down_payment&gt;0),IRR(($AL$4:AL96,AN97),),"N/A")</f>
        <v>1.7202349289694271E-2</v>
      </c>
      <c r="BC97" s="288">
        <f ca="1">IF(AND(leveraged_property,down_payment&gt;0),IRR(($AO$4:AO96,AQ97),),"N/A")</f>
        <v>1.7099035438867979E-2</v>
      </c>
      <c r="BD97" s="288">
        <f ca="1">IF(AND(leveraged_property,down_payment&gt;0),IRR(($AR$4:AR96,AT97),),"N/A")</f>
        <v>1.6994927061155095E-2</v>
      </c>
      <c r="BE97" s="288">
        <f ca="1">IF(AND(leveraged_property,down_payment&gt;0),IRR(($AU$4:AU96,AW97),),"N/A")</f>
        <v>1.6890056800762585E-2</v>
      </c>
      <c r="BF97" s="103"/>
      <c r="BG97" s="290">
        <f ca="1">IF(AND(leveraged_property,down_payment&gt;0),((1+AY97)^12)-1,"N/A")</f>
        <v>0.23154384415405582</v>
      </c>
      <c r="BH97" s="290">
        <f ca="1">IF(AND(leveraged_property,down_payment&gt;0),((1+AZ97)^12)-1,"N/A")</f>
        <v>0.23008154879650555</v>
      </c>
      <c r="BI97" s="290">
        <f ca="1">IF(AND(leveraged_property,down_payment&gt;0),((1+BA97)^12)-1,"N/A")</f>
        <v>0.22860791251576829</v>
      </c>
      <c r="BJ97" s="305">
        <f ca="1">IF(AND(leveraged_property,down_payment&gt;0),((1+BB97)^12)-1,"N/A")</f>
        <v>0.22712344708589893</v>
      </c>
      <c r="BK97" s="290">
        <f ca="1">IF(AND(leveraged_property,down_payment&gt;0),((1+BC97)^12)-1,"N/A")</f>
        <v>0.2256286642391212</v>
      </c>
      <c r="BL97" s="290">
        <f ca="1">IF(AND(leveraged_property,down_payment&gt;0),((1+BD97)^12)-1,"N/A")</f>
        <v>0.22412407444369475</v>
      </c>
      <c r="BM97" s="290">
        <f ca="1">IF(AND(leveraged_property,down_payment&gt;0),((1+BE97)^12)-1,"N/A")</f>
        <v>0.22261018573221736</v>
      </c>
    </row>
    <row r="98" spans="1:65">
      <c r="A98" s="137">
        <f>Model_Mthly!A98</f>
        <v>43023</v>
      </c>
      <c r="B98" s="138">
        <f>Model_Mthly!B98</f>
        <v>94</v>
      </c>
      <c r="C98" s="223"/>
      <c r="D98" s="139">
        <f>Model_Mthly!AQ98</f>
        <v>183419.62503896194</v>
      </c>
      <c r="E98" s="231">
        <f>IF(OR($H$3&lt;=0.0075,$H$3=""),0,SUM(Model_Mthly!AQ98,(SUM(Model_Mthly!Q99:Q110)/$E$3)*(1-cost_of_sale),-Model_Mthly!V98))</f>
        <v>33600503.298650861</v>
      </c>
      <c r="F98" s="231">
        <f>IF(OR($H$3&lt;=0.0075,$H$3=""),0,SUM(Model_Mthly!AQ98,(SUM(Model_Mthly!Q99:Q110)/$F$3)*(1-cost_of_sale),-Model_Mthly!V98))</f>
        <v>32210545.809358396</v>
      </c>
      <c r="G98" s="231">
        <f>IF(OR($H$3&lt;=0.0075,$H$3=""),0,SUM(Model_Mthly!AQ98,(SUM(Model_Mthly!Q99:Q110)/$G$3)*(1-cost_of_sale),-Model_Mthly!V98))</f>
        <v>30910262.99679447</v>
      </c>
      <c r="H98" s="232">
        <f>IF(OR($H$3&lt;=0.0075,$H$3=""),0,SUM(Model_Mthly!AQ98,(SUM(Model_Mthly!Q99:Q110)/$H$3)*(1-cost_of_sale),-Model_Mthly!V98))</f>
        <v>29691247.860015795</v>
      </c>
      <c r="I98" s="231">
        <f>IF(OR($H$3&lt;=0.0075,$H$3=""),0,SUM(Model_Mthly!AQ98,(SUM(Model_Mthly!Q99:Q110)/$I$3)*(1-cost_of_sale),-Model_Mthly!V98))</f>
        <v>28546112.428496435</v>
      </c>
      <c r="J98" s="231">
        <f>IF(OR($H$3&lt;=0.0075,$H$3=""),0,SUM(Model_Mthly!AQ98,(SUM(Model_Mthly!Q99:Q110)/$J$3)*(1-cost_of_sale),-Model_Mthly!V98))</f>
        <v>27468337.904713497</v>
      </c>
      <c r="K98" s="231">
        <f>IF(OR($H$3&lt;=0.0075,$H$3=""),0,SUM(Model_Mthly!AQ98,(SUM(Model_Mthly!Q99:Q110)/$K$3)*(1-cost_of_sale),-Model_Mthly!V98))</f>
        <v>26452150.496575303</v>
      </c>
      <c r="L98" s="160"/>
      <c r="M98" s="302">
        <f>IF(OR($H$3&lt;=0.0075,$H$3="",down_payment&lt;=0),"N/A",IRR(($D$4:D97,E98),))</f>
        <v>1.8227182573565041E-2</v>
      </c>
      <c r="N98" s="288">
        <f>IF(OR($H$3&lt;=0.0075,$H$3="",down_payment&lt;=0),"N/A",IRR(($D$4:D97,F98),))</f>
        <v>1.789114904466169E-2</v>
      </c>
      <c r="O98" s="288">
        <f>IF(OR($H$3&lt;=0.0075,$H$3="",down_payment&lt;=0),"N/A",IRR(($D$4:D97,G98),))</f>
        <v>1.7566138658060268E-2</v>
      </c>
      <c r="P98" s="303">
        <f>IF(OR($H$3&lt;=0.0075,$H$3="",down_payment&lt;=0),"N/A",IRR(($D$4:D97,H98),))</f>
        <v>1.7251431378723737E-2</v>
      </c>
      <c r="Q98" s="288">
        <f>IF(OR($H$3&lt;=0.0075,$H$3="",down_payment&lt;=0),"N/A",IRR(($D$4:D97,I98),))</f>
        <v>1.6946374501685815E-2</v>
      </c>
      <c r="R98" s="288">
        <f>IF(OR($H$3&lt;=0.0075,$H$3="",down_payment&lt;=0),"N/A",IRR(($D$4:D97,J98),))</f>
        <v>1.6650374539028026E-2</v>
      </c>
      <c r="S98" s="288">
        <f>IF(OR($H$3&lt;=0.0075,$H$3="",down_payment&lt;=0),"N/A",IRR(($D$4:D97,K98),))</f>
        <v>1.6362890290631853E-2</v>
      </c>
      <c r="T98" s="233"/>
      <c r="U98" s="304">
        <f t="shared" si="18"/>
        <v>0.24204188389044412</v>
      </c>
      <c r="V98" s="304">
        <f t="shared" si="19"/>
        <v>0.23713204459812931</v>
      </c>
      <c r="W98" s="304">
        <f t="shared" si="20"/>
        <v>0.23240019790238708</v>
      </c>
      <c r="X98" s="305">
        <f t="shared" si="21"/>
        <v>0.22783417020659646</v>
      </c>
      <c r="Y98" s="304">
        <f t="shared" si="22"/>
        <v>0.22342296471243461</v>
      </c>
      <c r="Z98" s="304">
        <f t="shared" si="23"/>
        <v>0.21915661602820258</v>
      </c>
      <c r="AA98" s="304">
        <f t="shared" si="24"/>
        <v>0.21502606642073663</v>
      </c>
      <c r="AB98" s="103"/>
      <c r="AC98" s="149">
        <f>SUM(Model_Mthly!$Q98,-IF(AND(leveraged_property,B98&lt;=amort_period),-PMT(AC$3/12,amort_period,loan_amount),0))</f>
        <v>187803.08319913104</v>
      </c>
      <c r="AD98" s="149">
        <f>AD97+IF(AND(leveraged_property,$B98&lt;=amort_period),PPMT(AD$3/12,$B98,amort_period,loan_amount),0)</f>
        <v>8142148.6937642945</v>
      </c>
      <c r="AE98" s="149">
        <f ca="1">SUM(AC98,Model_Mthly!$AA98,-AD98)</f>
        <v>29835123.629573781</v>
      </c>
      <c r="AF98" s="149">
        <f>SUM(Model_Mthly!$Q98,-IF(AND(leveraged_property,B98&lt;=amort_period),-PMT(AF$3/12,amort_period,loan_amount),0))</f>
        <v>186361.52598077402</v>
      </c>
      <c r="AG98" s="149">
        <f>AG97+IF(AND(leveraged_property,$B98&lt;=amort_period),PPMT(AG$3/12,$B98,amort_period,loan_amount),0)</f>
        <v>8189842.6457927711</v>
      </c>
      <c r="AH98" s="149">
        <f ca="1">SUM(AF98,Model_Mthly!$AA98,-AG98)</f>
        <v>29785988.120326947</v>
      </c>
      <c r="AI98" s="149">
        <f>SUM(Model_Mthly!$Q98,-IF(AND(leveraged_property,B98&lt;=amort_period),-PMT(AI$3/12,amort_period,loan_amount),0))</f>
        <v>184900.22846344733</v>
      </c>
      <c r="AJ98" s="149">
        <f>AJ97+IF(AND(leveraged_property,$B98&lt;=amort_period),PPMT(AJ$3/12,$B98,amort_period,loan_amount),0)</f>
        <v>8236339.3203663873</v>
      </c>
      <c r="AK98" s="149">
        <f ca="1">SUM(AI98,Model_Mthly!$AA98,-AJ98)</f>
        <v>29738030.14823601</v>
      </c>
      <c r="AL98" s="229">
        <f>SUM(Model_Mthly!$Q98,-IF(AND(leveraged_property,B98&lt;=amort_period),-PMT(AL$3/12,amort_period,loan_amount),0))</f>
        <v>183419.62503896194</v>
      </c>
      <c r="AM98" s="229">
        <f>AM97+IF(AND(leveraged_property,$B98&lt;=amort_period),PPMT(AM$3/12,$B98,amort_period,loan_amount),0)</f>
        <v>8281641.0051621124</v>
      </c>
      <c r="AN98" s="229">
        <f ca="1">SUM(AL98,Model_Mthly!$AA98,-AM98)</f>
        <v>29691247.860015795</v>
      </c>
      <c r="AO98" s="149">
        <f>SUM(Model_Mthly!$Q98,-IF(AND(leveraged_property,B98&lt;=amort_period),-PMT(AO$3/12,amort_period,loan_amount),0))</f>
        <v>181920.15880478974</v>
      </c>
      <c r="AP98" s="162">
        <f>AP97+IF(AND(leveraged_property,$B98&lt;=amort_period),PPMT(AP$3/12,$B98,amort_period,loan_amount),0)</f>
        <v>8325751.6990446746</v>
      </c>
      <c r="AQ98" s="149">
        <f ca="1">SUM(AO98,Model_Mthly!$AA98,-AP98)</f>
        <v>29645637.699899063</v>
      </c>
      <c r="AR98" s="149">
        <f>SUM(Model_Mthly!$Q98,-IF(AND(leveraged_property,B98&lt;=amort_period),-PMT(AR$3/12,amort_period,loan_amount),0))</f>
        <v>180402.28027741506</v>
      </c>
      <c r="AS98" s="162">
        <f>AS97+IF(AND(leveraged_property,$B98&lt;=amort_period),PPMT(AS$3/12,$B98,amort_period,loan_amount),0)</f>
        <v>8368677.0451267697</v>
      </c>
      <c r="AT98" s="149">
        <f ca="1">SUM(AR98,Model_Mthly!$AA98,-AS98)</f>
        <v>29601194.475289594</v>
      </c>
      <c r="AU98" s="149">
        <f>SUM(Model_Mthly!$Q98,-IF(AND(leveraged_property,B98&lt;=amort_period),-PMT(AU$3/12,amort_period,loan_amount),0))</f>
        <v>178866.44612641976</v>
      </c>
      <c r="AV98" s="162">
        <f>AV97+IF(AND(leveraged_property,$B98&lt;=amort_period),PPMT(AV$3/12,$B98,amort_period,loan_amount),0)</f>
        <v>8410424.2599786576</v>
      </c>
      <c r="AW98" s="149">
        <f ca="1">SUM(AU98,Model_Mthly!$AA98,-AV98)</f>
        <v>29557911.426286705</v>
      </c>
      <c r="AX98" s="103"/>
      <c r="AY98" s="288">
        <f ca="1">IF(AND(leveraged_property,down_payment&gt;0),IRR(($AC$4:AC97,AE98),),"N/A")</f>
        <v>1.7554096083484492E-2</v>
      </c>
      <c r="AZ98" s="288">
        <f ca="1">IF(AND(leveraged_property,down_payment&gt;0),IRR(($AF$4:AF97,AH98),),"N/A")</f>
        <v>1.7454087159963782E-2</v>
      </c>
      <c r="BA98" s="288">
        <f ca="1">IF(AND(leveraged_property,down_payment&gt;0),IRR(($AI$4:AI97,AK98),),"N/A")</f>
        <v>1.7353188104193701E-2</v>
      </c>
      <c r="BB98" s="303">
        <f ca="1">IF(AND(leveraged_property,down_payment&gt;0),IRR(($AL$4:AL97,AN98),),"N/A")</f>
        <v>1.7251431378723737E-2</v>
      </c>
      <c r="BC98" s="288">
        <f ca="1">IF(AND(leveraged_property,down_payment&gt;0),IRR(($AO$4:AO97,AQ98),),"N/A")</f>
        <v>1.7148849571804438E-2</v>
      </c>
      <c r="BD98" s="288">
        <f ca="1">IF(AND(leveraged_property,down_payment&gt;0),IRR(($AR$4:AR97,AT98),),"N/A")</f>
        <v>1.7045475316196528E-2</v>
      </c>
      <c r="BE98" s="288">
        <f ca="1">IF(AND(leveraged_property,down_payment&gt;0),IRR(($AU$4:AU97,AW98),),"N/A")</f>
        <v>1.6941341210793617E-2</v>
      </c>
      <c r="BF98" s="103"/>
      <c r="BG98" s="290">
        <f ca="1">IF(AND(leveraged_property,down_payment&gt;0),((1+AY98)^12)-1,"N/A")</f>
        <v>0.2322251884786064</v>
      </c>
      <c r="BH98" s="290">
        <f ca="1">IF(AND(leveraged_property,down_payment&gt;0),((1+AZ98)^12)-1,"N/A")</f>
        <v>0.23077268284595287</v>
      </c>
      <c r="BI98" s="290">
        <f ca="1">IF(AND(leveraged_property,down_payment&gt;0),((1+BA98)^12)-1,"N/A")</f>
        <v>0.22930883979795236</v>
      </c>
      <c r="BJ98" s="305">
        <f ca="1">IF(AND(leveraged_property,down_payment&gt;0),((1+BB98)^12)-1,"N/A")</f>
        <v>0.22783417020659646</v>
      </c>
      <c r="BK98" s="290">
        <f ca="1">IF(AND(leveraged_property,down_payment&gt;0),((1+BC98)^12)-1,"N/A")</f>
        <v>0.22634918496589873</v>
      </c>
      <c r="BL98" s="290">
        <f ca="1">IF(AND(leveraged_property,down_payment&gt;0),((1+BD98)^12)-1,"N/A")</f>
        <v>0.22485439376919159</v>
      </c>
      <c r="BM98" s="290">
        <f ca="1">IF(AND(leveraged_property,down_payment&gt;0),((1+BE98)^12)-1,"N/A")</f>
        <v>0.22335030393666533</v>
      </c>
    </row>
    <row r="99" spans="1:65">
      <c r="A99" s="137">
        <f>Model_Mthly!A99</f>
        <v>43054</v>
      </c>
      <c r="B99" s="138">
        <f>Model_Mthly!B99</f>
        <v>95</v>
      </c>
      <c r="C99" s="223"/>
      <c r="D99" s="139">
        <f>Model_Mthly!AQ99</f>
        <v>183419.62503896194</v>
      </c>
      <c r="E99" s="231">
        <f>IF(OR($H$3&lt;=0.0075,$H$3=""),0,SUM(Model_Mthly!AQ99,(SUM(Model_Mthly!Q100:Q111)/$E$3)*(1-cost_of_sale),-Model_Mthly!V99))</f>
        <v>34153070.478217617</v>
      </c>
      <c r="F99" s="231">
        <f>IF(OR($H$3&lt;=0.0075,$H$3=""),0,SUM(Model_Mthly!AQ99,(SUM(Model_Mthly!Q100:Q111)/$F$3)*(1-cost_of_sale),-Model_Mthly!V99))</f>
        <v>32745226.83073473</v>
      </c>
      <c r="G99" s="231">
        <f>IF(OR($H$3&lt;=0.0075,$H$3=""),0,SUM(Model_Mthly!AQ99,(SUM(Model_Mthly!Q100:Q111)/$G$3)*(1-cost_of_sale),-Model_Mthly!V99))</f>
        <v>31428211.805670097</v>
      </c>
      <c r="H99" s="232">
        <f>IF(OR($H$3&lt;=0.0075,$H$3=""),0,SUM(Model_Mthly!AQ99,(SUM(Model_Mthly!Q100:Q111)/$H$3)*(1-cost_of_sale),-Model_Mthly!V99))</f>
        <v>30193510.219672002</v>
      </c>
      <c r="I99" s="231">
        <f>IF(OR($H$3&lt;=0.0075,$H$3=""),0,SUM(Model_Mthly!AQ99,(SUM(Model_Mthly!Q100:Q111)/$I$3)*(1-cost_of_sale),-Model_Mthly!V99))</f>
        <v>29033639.032825306</v>
      </c>
      <c r="J99" s="231">
        <f>IF(OR($H$3&lt;=0.0075,$H$3=""),0,SUM(Model_Mthly!AQ99,(SUM(Model_Mthly!Q100:Q111)/$J$3)*(1-cost_of_sale),-Model_Mthly!V99))</f>
        <v>27941995.562851951</v>
      </c>
      <c r="K99" s="231">
        <f>IF(OR($H$3&lt;=0.0075,$H$3=""),0,SUM(Model_Mthly!AQ99,(SUM(Model_Mthly!Q100:Q111)/$K$3)*(1-cost_of_sale),-Model_Mthly!V99))</f>
        <v>26912731.719734214</v>
      </c>
      <c r="L99" s="160"/>
      <c r="M99" s="302">
        <f>IF(OR($H$3&lt;=0.0075,$H$3="",down_payment&lt;=0),"N/A",IRR(($D$4:D98,E99),))</f>
        <v>1.8256532177893092E-2</v>
      </c>
      <c r="N99" s="288">
        <f>IF(OR($H$3&lt;=0.0075,$H$3="",down_payment&lt;=0),"N/A",IRR(($D$4:D98,F99),))</f>
        <v>1.7925870783079882E-2</v>
      </c>
      <c r="O99" s="288">
        <f>IF(OR($H$3&lt;=0.0075,$H$3="",down_payment&lt;=0),"N/A",IRR(($D$4:D98,G99),))</f>
        <v>1.7606107521336348E-2</v>
      </c>
      <c r="P99" s="303">
        <f>IF(OR($H$3&lt;=0.0075,$H$3="",down_payment&lt;=0),"N/A",IRR(($D$4:D98,H99),))</f>
        <v>1.7296530733613282E-2</v>
      </c>
      <c r="Q99" s="288">
        <f>IF(OR($H$3&lt;=0.0075,$H$3="",down_payment&lt;=0),"N/A",IRR(($D$4:D98,I99),))</f>
        <v>1.6996495320044689E-2</v>
      </c>
      <c r="R99" s="288">
        <f>IF(OR($H$3&lt;=0.0075,$H$3="",down_payment&lt;=0),"N/A",IRR(($D$4:D98,J99),))</f>
        <v>1.6705414719413433E-2</v>
      </c>
      <c r="S99" s="288">
        <f>IF(OR($H$3&lt;=0.0075,$H$3="",down_payment&lt;=0),"N/A",IRR(($D$4:D98,K99),))</f>
        <v>1.6422754058936787E-2</v>
      </c>
      <c r="T99" s="233"/>
      <c r="U99" s="304">
        <f t="shared" si="18"/>
        <v>0.24247156266678149</v>
      </c>
      <c r="V99" s="304">
        <f t="shared" si="19"/>
        <v>0.23763854396419015</v>
      </c>
      <c r="W99" s="304">
        <f t="shared" si="20"/>
        <v>0.23298121107706282</v>
      </c>
      <c r="X99" s="305">
        <f t="shared" si="21"/>
        <v>0.22848755478931593</v>
      </c>
      <c r="Y99" s="304">
        <f t="shared" si="22"/>
        <v>0.22414672658906132</v>
      </c>
      <c r="Z99" s="304">
        <f t="shared" si="23"/>
        <v>0.21994889529389261</v>
      </c>
      <c r="AA99" s="304">
        <f t="shared" si="24"/>
        <v>0.21588512501585888</v>
      </c>
      <c r="AB99" s="103"/>
      <c r="AC99" s="149">
        <f>SUM(Model_Mthly!$Q99,-IF(AND(leveraged_property,B99&lt;=amort_period),-PMT(AC$3/12,amort_period,loan_amount),0))</f>
        <v>187803.08319913104</v>
      </c>
      <c r="AD99" s="149">
        <f>AD98+IF(AND(leveraged_property,$B99&lt;=amort_period),PPMT(AD$3/12,$B99,amort_period,loan_amount),0)</f>
        <v>8124821.5353759825</v>
      </c>
      <c r="AE99" s="149">
        <f ca="1">SUM(AC99,Model_Mthly!$AA99,-AD99)</f>
        <v>30338730.713763997</v>
      </c>
      <c r="AF99" s="149">
        <f>SUM(Model_Mthly!$Q99,-IF(AND(leveraged_property,B99&lt;=amort_period),-PMT(AF$3/12,amort_period,loan_amount),0))</f>
        <v>186361.52598077402</v>
      </c>
      <c r="AG99" s="149">
        <f>AG98+IF(AND(leveraged_property,$B99&lt;=amort_period),PPMT(AG$3/12,$B99,amort_period,loan_amount),0)</f>
        <v>8172968.935964088</v>
      </c>
      <c r="AH99" s="149">
        <f ca="1">SUM(AF99,Model_Mthly!$AA99,-AG99)</f>
        <v>30289141.755957533</v>
      </c>
      <c r="AI99" s="149">
        <f>SUM(Model_Mthly!$Q99,-IF(AND(leveraged_property,B99&lt;=amort_period),-PMT(AI$3/12,amort_period,loan_amount),0))</f>
        <v>184900.22846344733</v>
      </c>
      <c r="AJ99" s="149">
        <f>AJ98+IF(AND(leveraged_property,$B99&lt;=amort_period),PPMT(AJ$3/12,$B99,amort_period,loan_amount),0)</f>
        <v>8219913.9531895099</v>
      </c>
      <c r="AK99" s="149">
        <f ca="1">SUM(AI99,Model_Mthly!$AA99,-AJ99)</f>
        <v>30240735.441214789</v>
      </c>
      <c r="AL99" s="229">
        <f>SUM(Model_Mthly!$Q99,-IF(AND(leveraged_property,B99&lt;=amort_period),-PMT(AL$3/12,amort_period,loan_amount),0))</f>
        <v>183419.62503896194</v>
      </c>
      <c r="AM99" s="229">
        <f>AM98+IF(AND(leveraged_property,$B99&lt;=amort_period),PPMT(AM$3/12,$B99,amort_period,loan_amount),0)</f>
        <v>8265658.5713078072</v>
      </c>
      <c r="AN99" s="229">
        <f ca="1">SUM(AL99,Model_Mthly!$AA99,-AM99)</f>
        <v>30193510.219672002</v>
      </c>
      <c r="AO99" s="149">
        <f>SUM(Model_Mthly!$Q99,-IF(AND(leveraged_property,B99&lt;=amort_period),-PMT(AO$3/12,amort_period,loan_amount),0))</f>
        <v>181920.15880478974</v>
      </c>
      <c r="AP99" s="162">
        <f>AP98+IF(AND(leveraged_property,$B99&lt;=amort_period),PPMT(AP$3/12,$B99,amort_period,loan_amount),0)</f>
        <v>8310206.5045737932</v>
      </c>
      <c r="AQ99" s="149">
        <f ca="1">SUM(AO99,Model_Mthly!$AA99,-AP99)</f>
        <v>30147462.820171848</v>
      </c>
      <c r="AR99" s="149">
        <f>SUM(Model_Mthly!$Q99,-IF(AND(leveraged_property,B99&lt;=amort_period),-PMT(AR$3/12,amort_period,loan_amount),0))</f>
        <v>180402.28027741506</v>
      </c>
      <c r="AS99" s="162">
        <f>AS98+IF(AND(leveraged_property,$B99&lt;=amort_period),PPMT(AS$3/12,$B99,amort_period,loan_amount),0)</f>
        <v>8353563.1304628914</v>
      </c>
      <c r="AT99" s="149">
        <f ca="1">SUM(AR99,Model_Mthly!$AA99,-AS99)</f>
        <v>30102588.315755375</v>
      </c>
      <c r="AU99" s="149">
        <f>SUM(Model_Mthly!$Q99,-IF(AND(leveraged_property,B99&lt;=amort_period),-PMT(AU$3/12,amort_period,loan_amount),0))</f>
        <v>178866.44612641976</v>
      </c>
      <c r="AV99" s="162">
        <f>AV98+IF(AND(leveraged_property,$B99&lt;=amort_period),PPMT(AV$3/12,$B99,amort_period,loan_amount),0)</f>
        <v>8395735.4189588726</v>
      </c>
      <c r="AW99" s="149">
        <f ca="1">SUM(AU99,Model_Mthly!$AA99,-AV99)</f>
        <v>30058880.193108395</v>
      </c>
      <c r="AX99" s="103"/>
      <c r="AY99" s="288">
        <f ca="1">IF(AND(leveraged_property,down_payment&gt;0),IRR(($AC$4:AC98,AE99),),"N/A")</f>
        <v>1.7597083314104485E-2</v>
      </c>
      <c r="AZ99" s="288">
        <f ca="1">IF(AND(leveraged_property,down_payment&gt;0),IRR(($AF$4:AF98,AH99),),"N/A")</f>
        <v>1.7497776256885658E-2</v>
      </c>
      <c r="BA99" s="288">
        <f ca="1">IF(AND(leveraged_property,down_payment&gt;0),IRR(($AI$4:AI98,AK99),),"N/A")</f>
        <v>1.7397581260069385E-2</v>
      </c>
      <c r="BB99" s="303">
        <f ca="1">IF(AND(leveraged_property,down_payment&gt;0),IRR(($AL$4:AL98,AN99),),"N/A")</f>
        <v>1.7296530733613282E-2</v>
      </c>
      <c r="BC99" s="288">
        <f ca="1">IF(AND(leveraged_property,down_payment&gt;0),IRR(($AO$4:AO98,AQ99),),"N/A")</f>
        <v>1.7194657216226469E-2</v>
      </c>
      <c r="BD99" s="288">
        <f ca="1">IF(AND(leveraged_property,down_payment&gt;0),IRR(($AR$4:AR98,AT99),),"N/A")</f>
        <v>1.7091993294192247E-2</v>
      </c>
      <c r="BE99" s="288">
        <f ca="1">IF(AND(leveraged_property,down_payment&gt;0),IRR(($AU$4:AU98,AW99),),"N/A")</f>
        <v>1.698857152298653E-2</v>
      </c>
      <c r="BF99" s="103"/>
      <c r="BG99" s="290">
        <f ca="1">IF(AND(leveraged_property,down_payment&gt;0),((1+AY99)^12)-1,"N/A")</f>
        <v>0.23285000743905715</v>
      </c>
      <c r="BH99" s="290">
        <f ca="1">IF(AND(leveraged_property,down_payment&gt;0),((1+AZ99)^12)-1,"N/A")</f>
        <v>0.23140701965105803</v>
      </c>
      <c r="BI99" s="290">
        <f ca="1">IF(AND(leveraged_property,down_payment&gt;0),((1+BA99)^12)-1,"N/A")</f>
        <v>0.22995269877068147</v>
      </c>
      <c r="BJ99" s="305">
        <f ca="1">IF(AND(leveraged_property,down_payment&gt;0),((1+BB99)^12)-1,"N/A")</f>
        <v>0.22848755478931593</v>
      </c>
      <c r="BK99" s="290">
        <f ca="1">IF(AND(leveraged_property,down_payment&gt;0),((1+BC99)^12)-1,"N/A")</f>
        <v>0.22701209778187792</v>
      </c>
      <c r="BL99" s="290">
        <f ca="1">IF(AND(leveraged_property,down_payment&gt;0),((1+BD99)^12)-1,"N/A")</f>
        <v>0.22552683668365514</v>
      </c>
      <c r="BM99" s="290">
        <f ca="1">IF(AND(leveraged_property,down_payment&gt;0),((1+BE99)^12)-1,"N/A")</f>
        <v>0.2240322781170585</v>
      </c>
    </row>
    <row r="100" spans="1:65">
      <c r="A100" s="137">
        <f>Model_Mthly!A100</f>
        <v>43084</v>
      </c>
      <c r="B100" s="138">
        <f>Model_Mthly!B100</f>
        <v>96</v>
      </c>
      <c r="C100" s="223"/>
      <c r="D100" s="183">
        <f>Model_Mthly!AQ100</f>
        <v>183419.62503896194</v>
      </c>
      <c r="E100" s="202">
        <f>IF(OR($H$3&lt;=0.0075,$H$3=""),0,SUM(Model_Mthly!AQ100,(SUM(Model_Mthly!Q101:Q112)/$E$3)*(1-cost_of_sale),-Model_Mthly!V100))</f>
        <v>34705710.910606198</v>
      </c>
      <c r="F100" s="202">
        <f>IF(OR($H$3&lt;=0.0075,$H$3=""),0,SUM(Model_Mthly!AQ100,(SUM(Model_Mthly!Q101:Q112)/$F$3)*(1-cost_of_sale),-Model_Mthly!V100))</f>
        <v>33279981.104932904</v>
      </c>
      <c r="G100" s="202">
        <f>IF(OR($H$3&lt;=0.0075,$H$3=""),0,SUM(Model_Mthly!AQ100,(SUM(Model_Mthly!Q101:Q112)/$G$3)*(1-cost_of_sale),-Model_Mthly!V100))</f>
        <v>31946233.867367558</v>
      </c>
      <c r="H100" s="202">
        <f>IF(OR($H$3&lt;=0.0075,$H$3=""),0,SUM(Model_Mthly!AQ100,(SUM(Model_Mthly!Q101:Q112)/$H$3)*(1-cost_of_sale),-Model_Mthly!V100))</f>
        <v>30695845.83215005</v>
      </c>
      <c r="I100" s="202">
        <f>IF(OR($H$3&lt;=0.0075,$H$3=""),0,SUM(Model_Mthly!AQ100,(SUM(Model_Mthly!Q101:Q112)/$I$3)*(1-cost_of_sale),-Model_Mthly!V100))</f>
        <v>29521238.889976025</v>
      </c>
      <c r="J100" s="202">
        <f>IF(OR($H$3&lt;=0.0075,$H$3=""),0,SUM(Model_Mthly!AQ100,(SUM(Model_Mthly!Q101:Q112)/$J$3)*(1-cost_of_sale),-Model_Mthly!V100))</f>
        <v>28415726.473812245</v>
      </c>
      <c r="K100" s="202">
        <f>IF(OR($H$3&lt;=0.0075,$H$3=""),0,SUM(Model_Mthly!AQ100,(SUM(Model_Mthly!Q101:Q112)/$K$3)*(1-cost_of_sale),-Model_Mthly!V100))</f>
        <v>27373386.195714951</v>
      </c>
      <c r="L100" s="160"/>
      <c r="M100" s="289">
        <f>IF(OR($H$3&lt;=0.0075,$H$3="",down_payment&lt;=0),"N/A",IRR(($D$4:D99,E100),))</f>
        <v>1.828258261171898E-2</v>
      </c>
      <c r="N100" s="289">
        <f>IF(OR($H$3&lt;=0.0075,$H$3="",down_payment&lt;=0),"N/A",IRR(($D$4:D99,F100),))</f>
        <v>1.7957137957320787E-2</v>
      </c>
      <c r="O100" s="289">
        <f>IF(OR($H$3&lt;=0.0075,$H$3="",down_payment&lt;=0),"N/A",IRR(($D$4:D99,G100),))</f>
        <v>1.7642468495186324E-2</v>
      </c>
      <c r="P100" s="289">
        <f>IF(OR($H$3&lt;=0.0075,$H$3="",down_payment&lt;=0),"N/A",IRR(($D$4:D99,H100),))</f>
        <v>1.7337870761409441E-2</v>
      </c>
      <c r="Q100" s="289">
        <f>IF(OR($H$3&lt;=0.0075,$H$3="",down_payment&lt;=0),"N/A",IRR(($D$4:D99,I100),))</f>
        <v>1.7042707096401929E-2</v>
      </c>
      <c r="R100" s="289">
        <f>IF(OR($H$3&lt;=0.0075,$H$3="",down_payment&lt;=0),"N/A",IRR(($D$4:D99,J100),))</f>
        <v>1.6756397714902338E-2</v>
      </c>
      <c r="S100" s="289">
        <f>IF(OR($H$3&lt;=0.0075,$H$3="",down_payment&lt;=0),"N/A",IRR(($D$4:D99,K100),))</f>
        <v>1.6478413933140604E-2</v>
      </c>
      <c r="T100" s="233"/>
      <c r="U100" s="291">
        <f t="shared" si="18"/>
        <v>0.24285305566260207</v>
      </c>
      <c r="V100" s="291">
        <f t="shared" si="19"/>
        <v>0.23809481292487766</v>
      </c>
      <c r="W100" s="291">
        <f t="shared" si="20"/>
        <v>0.23350999574915865</v>
      </c>
      <c r="X100" s="291">
        <f t="shared" si="21"/>
        <v>0.22908675544112023</v>
      </c>
      <c r="Y100" s="291">
        <f t="shared" si="22"/>
        <v>0.22481438829644396</v>
      </c>
      <c r="Z100" s="291">
        <f t="shared" si="23"/>
        <v>0.22068319419433413</v>
      </c>
      <c r="AA100" s="291">
        <f t="shared" si="24"/>
        <v>0.21668435623444759</v>
      </c>
      <c r="AB100" s="103"/>
      <c r="AC100" s="186">
        <f>SUM(Model_Mthly!$Q100,-IF(AND(leveraged_property,B100&lt;=amort_period),-PMT(AC$3/12,amort_period,loan_amount),0))</f>
        <v>187803.08319913104</v>
      </c>
      <c r="AD100" s="186">
        <f>AD99+IF(AND(leveraged_property,$B100&lt;=amort_period),PPMT(AD$3/12,$B100,amort_period,loan_amount),0)</f>
        <v>8107425.7903190497</v>
      </c>
      <c r="AE100" s="186">
        <f ca="1">SUM(AC100,Model_Mthly!$AA100,-AD100)</f>
        <v>30842406.384622842</v>
      </c>
      <c r="AF100" s="186">
        <f>SUM(Model_Mthly!$Q100,-IF(AND(leveraged_property,B100&lt;=amort_period),-PMT(AF$3/12,amort_period,loan_amount),0))</f>
        <v>186361.52598077402</v>
      </c>
      <c r="AG100" s="186">
        <f>AG99+IF(AND(leveraged_property,$B100&lt;=amort_period),PPMT(AG$3/12,$B100,amort_period,loan_amount),0)</f>
        <v>8156024.9190111188</v>
      </c>
      <c r="AH100" s="186">
        <f ca="1">SUM(AF100,Model_Mthly!$AA100,-AG100)</f>
        <v>30792365.698712412</v>
      </c>
      <c r="AI100" s="186">
        <f>SUM(Model_Mthly!$Q100,-IF(AND(leveraged_property,B100&lt;=amort_period),-PMT(AI$3/12,amort_period,loan_amount),0))</f>
        <v>184900.22846344733</v>
      </c>
      <c r="AJ100" s="186">
        <f>AJ99+IF(AND(leveraged_property,$B100&lt;=amort_period),PPMT(AJ$3/12,$B100,amort_period,loan_amount),0)</f>
        <v>8203416.7250312343</v>
      </c>
      <c r="AK100" s="186">
        <f ca="1">SUM(AI100,Model_Mthly!$AA100,-AJ100)</f>
        <v>30743512.595174976</v>
      </c>
      <c r="AL100" s="186">
        <f>SUM(Model_Mthly!$Q100,-IF(AND(leveraged_property,B100&lt;=amort_period),-PMT(AL$3/12,amort_period,loan_amount),0))</f>
        <v>183419.62503896194</v>
      </c>
      <c r="AM100" s="186">
        <f>AM99+IF(AND(leveraged_property,$B100&lt;=amort_period),PPMT(AM$3/12,$B100,amort_period,loan_amount),0)</f>
        <v>8249602.8846316691</v>
      </c>
      <c r="AN100" s="186">
        <f ca="1">SUM(AL100,Model_Mthly!$AA100,-AM100)</f>
        <v>30695845.83215005</v>
      </c>
      <c r="AO100" s="186">
        <f>SUM(Model_Mthly!$Q100,-IF(AND(leveraged_property,B100&lt;=amort_period),-PMT(AO$3/12,amort_period,loan_amount),0))</f>
        <v>181920.15880478974</v>
      </c>
      <c r="AP100" s="186">
        <f>AP99+IF(AND(leveraged_property,$B100&lt;=amort_period),PPMT(AP$3/12,$B100,amort_period,loan_amount),0)</f>
        <v>8294586.8227127381</v>
      </c>
      <c r="AQ100" s="186">
        <f ca="1">SUM(AO100,Model_Mthly!$AA100,-AP100)</f>
        <v>30649362.427834813</v>
      </c>
      <c r="AR100" s="186">
        <f>SUM(Model_Mthly!$Q100,-IF(AND(leveraged_property,B100&lt;=amort_period),-PMT(AR$3/12,amort_period,loan_amount),0))</f>
        <v>180402.28027741506</v>
      </c>
      <c r="AS100" s="186">
        <f>AS99+IF(AND(leveraged_property,$B100&lt;=amort_period),PPMT(AS$3/12,$B100,amort_period,loan_amount),0)</f>
        <v>8338373.6462256936</v>
      </c>
      <c r="AT100" s="186">
        <f ca="1">SUM(AR100,Model_Mthly!$AA100,-AS100)</f>
        <v>30604057.725794483</v>
      </c>
      <c r="AU100" s="186">
        <f>SUM(Model_Mthly!$Q100,-IF(AND(leveraged_property,B100&lt;=amort_period),-PMT(AU$3/12,amort_period,loan_amount),0))</f>
        <v>178866.44612641976</v>
      </c>
      <c r="AV100" s="186">
        <f>AV99+IF(AND(leveraged_property,$B100&lt;=amort_period),PPMT(AV$3/12,$B100,amort_period,loan_amount),0)</f>
        <v>8380970.0735587757</v>
      </c>
      <c r="AW100" s="186">
        <f ca="1">SUM(AU100,Model_Mthly!$AA100,-AV100)</f>
        <v>30559925.4643104</v>
      </c>
      <c r="AX100" s="103"/>
      <c r="AY100" s="289">
        <f ca="1">IF(AND(leveraged_property,down_payment&gt;0),IRR(($AC$4:AC99,AE100),),"N/A")</f>
        <v>1.7636378991279483E-2</v>
      </c>
      <c r="AZ100" s="289">
        <f ca="1">IF(AND(leveraged_property,down_payment&gt;0),IRR(($AF$4:AF99,AH100),),"N/A")</f>
        <v>1.7537751246890901E-2</v>
      </c>
      <c r="BA100" s="289">
        <f ca="1">IF(AND(leveraged_property,down_payment&gt;0),IRR(($AI$4:AI99,AK100),),"N/A")</f>
        <v>1.7438237717093626E-2</v>
      </c>
      <c r="BB100" s="289">
        <f ca="1">IF(AND(leveraged_property,down_payment&gt;0),IRR(($AL$4:AL99,AN100),),"N/A")</f>
        <v>1.7337870761409441E-2</v>
      </c>
      <c r="BC100" s="289">
        <f ca="1">IF(AND(leveraged_property,down_payment&gt;0),IRR(($AO$4:AO99,AQ100),),"N/A")</f>
        <v>1.7236682871052993E-2</v>
      </c>
      <c r="BD100" s="289">
        <f ca="1">IF(AND(leveraged_property,down_payment&gt;0),IRR(($AR$4:AR99,AT100),),"N/A")</f>
        <v>1.7134706587763903E-2</v>
      </c>
      <c r="BE100" s="289">
        <f ca="1">IF(AND(leveraged_property,down_payment&gt;0),IRR(($AU$4:AU99,AW100),),"N/A")</f>
        <v>1.7031974425423615E-2</v>
      </c>
      <c r="BF100" s="103"/>
      <c r="BG100" s="291">
        <f ca="1">IF(AND(leveraged_property,down_payment&gt;0),((1+AY100)^12)-1,"N/A")</f>
        <v>0.23342142377664787</v>
      </c>
      <c r="BH100" s="291">
        <f ca="1">IF(AND(leveraged_property,down_payment&gt;0),((1+AZ100)^12)-1,"N/A")</f>
        <v>0.23198769262227303</v>
      </c>
      <c r="BI100" s="291">
        <f ca="1">IF(AND(leveraged_property,down_payment&gt;0),((1+BA100)^12)-1,"N/A")</f>
        <v>0.23054263346652615</v>
      </c>
      <c r="BJ100" s="291">
        <f ca="1">IF(AND(leveraged_property,down_payment&gt;0),((1+BB100)^12)-1,"N/A")</f>
        <v>0.22908675544112023</v>
      </c>
      <c r="BK100" s="291">
        <f ca="1">IF(AND(leveraged_property,down_payment&gt;0),((1+BC100)^12)-1,"N/A")</f>
        <v>0.22762056782065332</v>
      </c>
      <c r="BL100" s="291">
        <f ca="1">IF(AND(leveraged_property,down_payment&gt;0),((1+BD100)^12)-1,"N/A")</f>
        <v>0.2261445787989238</v>
      </c>
      <c r="BM100" s="291">
        <f ca="1">IF(AND(leveraged_property,down_payment&gt;0),((1+BE100)^12)-1,"N/A")</f>
        <v>0.2246592943150334</v>
      </c>
    </row>
    <row r="101" spans="1:65">
      <c r="A101" s="137">
        <f>Model_Mthly!A101</f>
        <v>43115</v>
      </c>
      <c r="B101" s="138">
        <f>Model_Mthly!B101</f>
        <v>97</v>
      </c>
      <c r="C101" s="223"/>
      <c r="D101" s="139">
        <f>Model_Mthly!AQ101</f>
        <v>223961.24693144902</v>
      </c>
      <c r="E101" s="231">
        <f>IF(OR($H$3&lt;=0.0075,$H$3=""),0,SUM(Model_Mthly!AQ101,(SUM(Model_Mthly!Q102:Q113)/$E$3)*(1-cost_of_sale),-Model_Mthly!V101))</f>
        <v>34761917.72676108</v>
      </c>
      <c r="F101" s="231">
        <f>IF(OR($H$3&lt;=0.0075,$H$3=""),0,SUM(Model_Mthly!AQ101,(SUM(Model_Mthly!Q102:Q113)/$F$3)*(1-cost_of_sale),-Model_Mthly!V101))</f>
        <v>33336203.390453704</v>
      </c>
      <c r="G101" s="231">
        <f>IF(OR($H$3&lt;=0.0075,$H$3=""),0,SUM(Model_Mthly!AQ101,(SUM(Model_Mthly!Q102:Q113)/$G$3)*(1-cost_of_sale),-Model_Mthly!V101))</f>
        <v>32002470.624230675</v>
      </c>
      <c r="H101" s="232">
        <f>IF(OR($H$3&lt;=0.0075,$H$3=""),0,SUM(Model_Mthly!AQ101,(SUM(Model_Mthly!Q102:Q113)/$H$3)*(1-cost_of_sale),-Model_Mthly!V101))</f>
        <v>30752096.155896589</v>
      </c>
      <c r="I101" s="231">
        <f>IF(OR($H$3&lt;=0.0075,$H$3=""),0,SUM(Model_Mthly!AQ101,(SUM(Model_Mthly!Q102:Q113)/$I$3)*(1-cost_of_sale),-Model_Mthly!V101))</f>
        <v>29577501.958370619</v>
      </c>
      <c r="J101" s="231">
        <f>IF(OR($H$3&lt;=0.0075,$H$3=""),0,SUM(Model_Mthly!AQ101,(SUM(Model_Mthly!Q102:Q113)/$J$3)*(1-cost_of_sale),-Model_Mthly!V101))</f>
        <v>28472001.537169725</v>
      </c>
      <c r="K101" s="231">
        <f>IF(OR($H$3&lt;=0.0075,$H$3=""),0,SUM(Model_Mthly!AQ101,(SUM(Model_Mthly!Q102:Q113)/$K$3)*(1-cost_of_sale),-Model_Mthly!V101))</f>
        <v>27429672.568608865</v>
      </c>
      <c r="L101" s="160"/>
      <c r="M101" s="302">
        <f>IF(OR($H$3&lt;=0.0075,$H$3="",down_payment&lt;=0),"N/A",IRR(($D$4:D100,E101),))</f>
        <v>1.8196537153434819E-2</v>
      </c>
      <c r="N101" s="288">
        <f>IF(OR($H$3&lt;=0.0075,$H$3="",down_payment&lt;=0),"N/A",IRR(($D$4:D100,F101),))</f>
        <v>1.7876523926371235E-2</v>
      </c>
      <c r="O101" s="288">
        <f>IF(OR($H$3&lt;=0.0075,$H$3="",down_payment&lt;=0),"N/A",IRR(($D$4:D100,G101),))</f>
        <v>1.7567157708619198E-2</v>
      </c>
      <c r="P101" s="303">
        <f>IF(OR($H$3&lt;=0.0075,$H$3="",down_payment&lt;=0),"N/A",IRR(($D$4:D100,H101),))</f>
        <v>1.7267743446751853E-2</v>
      </c>
      <c r="Q101" s="288">
        <f>IF(OR($H$3&lt;=0.0075,$H$3="",down_payment&lt;=0),"N/A",IRR(($D$4:D100,I101),))</f>
        <v>1.6977651120472427E-2</v>
      </c>
      <c r="R101" s="288">
        <f>IF(OR($H$3&lt;=0.0075,$H$3="",down_payment&lt;=0),"N/A",IRR(($D$4:D100,J101),))</f>
        <v>1.6696307904782205E-2</v>
      </c>
      <c r="S101" s="288">
        <f>IF(OR($H$3&lt;=0.0075,$H$3="",down_payment&lt;=0),"N/A",IRR(($D$4:D100,K101),))</f>
        <v>1.6423191475934386E-2</v>
      </c>
      <c r="T101" s="233"/>
      <c r="U101" s="304">
        <f t="shared" ref="U101:U124" si="25">IF(OR($H$3&lt;=0.0075,$H$3="",down_payment&lt;=0),"N/A",((1+M101)^12)-1)</f>
        <v>0.24159337971396022</v>
      </c>
      <c r="V101" s="304">
        <f t="shared" ref="V101:V124" si="26">IF(OR($H$3&lt;=0.0075,$H$3="",down_payment&lt;=0),"N/A",((1+N101)^12)-1)</f>
        <v>0.23691875924506633</v>
      </c>
      <c r="W101" s="304">
        <f t="shared" ref="W101:W124" si="27">IF(OR($H$3&lt;=0.0075,$H$3="",down_payment&lt;=0),"N/A",((1+O101)^12)-1)</f>
        <v>0.2324150083601666</v>
      </c>
      <c r="X101" s="305">
        <f t="shared" ref="X101:X124" si="28">IF(OR($H$3&lt;=0.0075,$H$3="",down_payment&lt;=0),"N/A",((1+P101)^12)-1)</f>
        <v>0.22807045728844177</v>
      </c>
      <c r="Y101" s="304">
        <f t="shared" ref="Y101:Y124" si="29">IF(OR($H$3&lt;=0.0075,$H$3="",down_payment&lt;=0),"N/A",((1+Q101)^12)-1)</f>
        <v>0.22387456382841342</v>
      </c>
      <c r="Z101" s="304">
        <f t="shared" ref="Z101:Z124" si="30">IF(OR($H$3&lt;=0.0075,$H$3="",down_payment&lt;=0),"N/A",((1+R101)^12)-1)</f>
        <v>0.21981777411385162</v>
      </c>
      <c r="AA101" s="304">
        <f t="shared" ref="AA101:AA124" si="31">IF(OR($H$3&lt;=0.0075,$H$3="",down_payment&lt;=0),"N/A",((1+S101)^12)-1)</f>
        <v>0.21589140409700858</v>
      </c>
      <c r="AB101" s="103"/>
      <c r="AC101" s="149">
        <f>SUM(Model_Mthly!$Q101,-IF(AND(leveraged_property,B101&lt;=amort_period),-PMT(AC$3/12,amort_period,loan_amount),0))</f>
        <v>228344.70509161812</v>
      </c>
      <c r="AD101" s="149">
        <f>AD100+IF(AND(leveraged_property,$B101&lt;=amort_period),PPMT(AD$3/12,$B101,amort_period,loan_amount),0)</f>
        <v>8089961.1871045996</v>
      </c>
      <c r="AE101" s="149">
        <f ca="1">SUM(AC101,Model_Mthly!$AA101,-AD101)</f>
        <v>30899992.036343761</v>
      </c>
      <c r="AF101" s="149">
        <f>SUM(Model_Mthly!$Q101,-IF(AND(leveraged_property,B101&lt;=amort_period),-PMT(AF$3/12,amort_period,loan_amount),0))</f>
        <v>226903.14787326113</v>
      </c>
      <c r="AG101" s="149">
        <f>AG100+IF(AND(leveraged_property,$B101&lt;=amort_period),PPMT(AG$3/12,$B101,amort_period,loan_amount),0)</f>
        <v>8139010.301987512</v>
      </c>
      <c r="AH101" s="149">
        <f ca="1">SUM(AF101,Model_Mthly!$AA101,-AG101)</f>
        <v>30849501.364242487</v>
      </c>
      <c r="AI101" s="149">
        <f>SUM(Model_Mthly!$Q101,-IF(AND(leveraged_property,B101&lt;=amort_period),-PMT(AI$3/12,amort_period,loan_amount),0))</f>
        <v>225441.85035593441</v>
      </c>
      <c r="AJ101" s="149">
        <f>AJ100+IF(AND(leveraged_property,$B101&lt;=amort_period),PPMT(AJ$3/12,$B101,amort_period,loan_amount),0)</f>
        <v>8186847.3214997659</v>
      </c>
      <c r="AK101" s="149">
        <f ca="1">SUM(AI101,Model_Mthly!$AA101,-AJ101)</f>
        <v>30800203.047212914</v>
      </c>
      <c r="AL101" s="229">
        <f>SUM(Model_Mthly!$Q101,-IF(AND(leveraged_property,B101&lt;=amort_period),-PMT(AL$3/12,amort_period,loan_amount),0))</f>
        <v>223961.24693144902</v>
      </c>
      <c r="AM101" s="229">
        <f>AM100+IF(AND(leveraged_property,$B101&lt;=amort_period),PPMT(AM$3/12,$B101,amort_period,loan_amount),0)</f>
        <v>8233473.609391599</v>
      </c>
      <c r="AN101" s="229">
        <f ca="1">SUM(AL101,Model_Mthly!$AA101,-AM101)</f>
        <v>30752096.155896589</v>
      </c>
      <c r="AO101" s="149">
        <f>SUM(Model_Mthly!$Q101,-IF(AND(leveraged_property,B101&lt;=amort_period),-PMT(AO$3/12,amort_period,loan_amount),0))</f>
        <v>222461.78069727682</v>
      </c>
      <c r="AP101" s="162">
        <f>AP100+IF(AND(leveraged_property,$B101&lt;=amort_period),PPMT(AP$3/12,$B101,amort_period,loan_amount),0)</f>
        <v>8278892.2965427656</v>
      </c>
      <c r="AQ101" s="149">
        <f ca="1">SUM(AO101,Model_Mthly!$AA101,-AP101)</f>
        <v>30705178.002511255</v>
      </c>
      <c r="AR101" s="149">
        <f>SUM(Model_Mthly!$Q101,-IF(AND(leveraged_property,B101&lt;=amort_period),-PMT(AR$3/12,amort_period,loan_amount),0))</f>
        <v>220943.90216990214</v>
      </c>
      <c r="AS101" s="162">
        <f>AS100+IF(AND(leveraged_property,$B101&lt;=amort_period),PPMT(AS$3/12,$B101,amort_period,loan_amount),0)</f>
        <v>8323108.2145673102</v>
      </c>
      <c r="AT101" s="149">
        <f ca="1">SUM(AR101,Model_Mthly!$AA101,-AS101)</f>
        <v>30659444.205959335</v>
      </c>
      <c r="AU101" s="149">
        <f>SUM(Model_Mthly!$Q101,-IF(AND(leveraged_property,B101&lt;=amort_period),-PMT(AU$3/12,amort_period,loan_amount),0))</f>
        <v>219408.06801890687</v>
      </c>
      <c r="AV101" s="162">
        <f>AV100+IF(AND(leveraged_property,$B101&lt;=amort_period),PPMT(AV$3/12,$B101,amort_period,loan_amount),0)</f>
        <v>8366127.8253180534</v>
      </c>
      <c r="AW101" s="149">
        <f ca="1">SUM(AU101,Model_Mthly!$AA101,-AV101)</f>
        <v>30614888.761057593</v>
      </c>
      <c r="AX101" s="103"/>
      <c r="AY101" s="288">
        <f ca="1">IF(AND(leveraged_property,down_payment&gt;0),IRR(($AC$4:AC100,AE101),),"N/A")</f>
        <v>1.7565926174398734E-2</v>
      </c>
      <c r="AZ101" s="288">
        <f ca="1">IF(AND(leveraged_property,down_payment&gt;0),IRR(($AF$4:AF100,AH101),),"N/A")</f>
        <v>1.7467409726668964E-2</v>
      </c>
      <c r="BA101" s="288">
        <f ca="1">IF(AND(leveraged_property,down_payment&gt;0),IRR(($AI$4:AI100,AK101),),"N/A")</f>
        <v>1.7368004665595758E-2</v>
      </c>
      <c r="BB101" s="303">
        <f ca="1">IF(AND(leveraged_property,down_payment&gt;0),IRR(($AL$4:AL100,AN101),),"N/A")</f>
        <v>1.7267743446751853E-2</v>
      </c>
      <c r="BC101" s="288">
        <f ca="1">IF(AND(leveraged_property,down_payment&gt;0),IRR(($AO$4:AO100,AQ101),),"N/A")</f>
        <v>1.7166658661191655E-2</v>
      </c>
      <c r="BD101" s="288">
        <f ca="1">IF(AND(leveraged_property,down_payment&gt;0),IRR(($AR$4:AR100,AT101),),"N/A")</f>
        <v>1.7064782953906957E-2</v>
      </c>
      <c r="BE101" s="288">
        <f ca="1">IF(AND(leveraged_property,down_payment&gt;0),IRR(($AU$4:AU100,AW101),),"N/A")</f>
        <v>1.6962148945066518E-2</v>
      </c>
      <c r="BF101" s="103"/>
      <c r="BG101" s="290">
        <f ca="1">IF(AND(leveraged_property,down_payment&gt;0),((1+AY101)^12)-1,"N/A")</f>
        <v>0.23239710977361594</v>
      </c>
      <c r="BH101" s="290">
        <f ca="1">IF(AND(leveraged_property,down_payment&gt;0),((1+AZ101)^12)-1,"N/A")</f>
        <v>0.23096608595624302</v>
      </c>
      <c r="BI101" s="290">
        <f ca="1">IF(AND(leveraged_property,down_payment&gt;0),((1+BA101)^12)-1,"N/A")</f>
        <v>0.22952369838388598</v>
      </c>
      <c r="BJ101" s="305">
        <f ca="1">IF(AND(leveraged_property,down_payment&gt;0),((1+BB101)^12)-1,"N/A")</f>
        <v>0.22807045728844177</v>
      </c>
      <c r="BK101" s="290">
        <f ca="1">IF(AND(leveraged_property,down_payment&gt;0),((1+BC101)^12)-1,"N/A")</f>
        <v>0.22660687309754479</v>
      </c>
      <c r="BL101" s="290">
        <f ca="1">IF(AND(leveraged_property,down_payment&gt;0),((1+BD101)^12)-1,"N/A")</f>
        <v>0.22513345520583261</v>
      </c>
      <c r="BM101" s="290">
        <f ca="1">IF(AND(leveraged_property,down_payment&gt;0),((1+BE101)^12)-1,"N/A")</f>
        <v>0.22365071079591958</v>
      </c>
    </row>
    <row r="102" spans="1:65">
      <c r="A102" s="137">
        <f>Model_Mthly!A102</f>
        <v>43146</v>
      </c>
      <c r="B102" s="138">
        <f>Model_Mthly!B102</f>
        <v>98</v>
      </c>
      <c r="C102" s="223"/>
      <c r="D102" s="139">
        <f>Model_Mthly!AQ102</f>
        <v>158425.3872383931</v>
      </c>
      <c r="E102" s="231">
        <f>IF(OR($H$3&lt;=0.0075,$H$3=""),0,SUM(Model_Mthly!AQ102,(SUM(Model_Mthly!Q103:Q114)/$E$3)*(1-cost_of_sale),-Model_Mthly!V102))</f>
        <v>34683438.161917701</v>
      </c>
      <c r="F102" s="231">
        <f>IF(OR($H$3&lt;=0.0075,$H$3=""),0,SUM(Model_Mthly!AQ102,(SUM(Model_Mthly!Q103:Q114)/$F$3)*(1-cost_of_sale),-Model_Mthly!V102))</f>
        <v>33258695.389151506</v>
      </c>
      <c r="G102" s="231">
        <f>IF(OR($H$3&lt;=0.0075,$H$3=""),0,SUM(Model_Mthly!AQ102,(SUM(Model_Mthly!Q103:Q114)/$G$3)*(1-cost_of_sale),-Model_Mthly!V102))</f>
        <v>31925871.504950866</v>
      </c>
      <c r="H102" s="232">
        <f>IF(OR($H$3&lt;=0.0075,$H$3=""),0,SUM(Model_Mthly!AQ102,(SUM(Model_Mthly!Q103:Q114)/$H$3)*(1-cost_of_sale),-Model_Mthly!V102))</f>
        <v>30676349.113512769</v>
      </c>
      <c r="I102" s="231">
        <f>IF(OR($H$3&lt;=0.0075,$H$3=""),0,SUM(Model_Mthly!AQ102,(SUM(Model_Mthly!Q103:Q114)/$I$3)*(1-cost_of_sale),-Model_Mthly!V102))</f>
        <v>29502555.351858795</v>
      </c>
      <c r="J102" s="231">
        <f>IF(OR($H$3&lt;=0.0075,$H$3=""),0,SUM(Model_Mthly!AQ102,(SUM(Model_Mthly!Q103:Q114)/$J$3)*(1-cost_of_sale),-Model_Mthly!V102))</f>
        <v>28397808.282066822</v>
      </c>
      <c r="K102" s="231">
        <f>IF(OR($H$3&lt;=0.0075,$H$3=""),0,SUM(Model_Mthly!AQ102,(SUM(Model_Mthly!Q103:Q114)/$K$3)*(1-cost_of_sale),-Model_Mthly!V102))</f>
        <v>27356189.616262957</v>
      </c>
      <c r="L102" s="160"/>
      <c r="M102" s="302">
        <f>IF(OR($H$3&lt;=0.0075,$H$3="",down_payment&lt;=0),"N/A",IRR(($D$4:D101,E102),))</f>
        <v>1.8092025123751E-2</v>
      </c>
      <c r="N102" s="288">
        <f>IF(OR($H$3&lt;=0.0075,$H$3="",down_payment&lt;=0),"N/A",IRR(($D$4:D101,F102),))</f>
        <v>1.7776843934779667E-2</v>
      </c>
      <c r="O102" s="288">
        <f>IF(OR($H$3&lt;=0.0075,$H$3="",down_payment&lt;=0),"N/A",IRR(($D$4:D101,G102),))</f>
        <v>1.7472182877261346E-2</v>
      </c>
      <c r="P102" s="303">
        <f>IF(OR($H$3&lt;=0.0075,$H$3="",down_payment&lt;=0),"N/A",IRR(($D$4:D101,H102),))</f>
        <v>1.7177355111626214E-2</v>
      </c>
      <c r="Q102" s="288">
        <f>IF(OR($H$3&lt;=0.0075,$H$3="",down_payment&lt;=0),"N/A",IRR(($D$4:D101,I102),))</f>
        <v>1.6891738075812571E-2</v>
      </c>
      <c r="R102" s="288">
        <f>IF(OR($H$3&lt;=0.0075,$H$3="",down_payment&lt;=0),"N/A",IRR(($D$4:D101,J102),))</f>
        <v>1.6614765737747974E-2</v>
      </c>
      <c r="S102" s="288">
        <f>IF(OR($H$3&lt;=0.0075,$H$3="",down_payment&lt;=0),"N/A",IRR(($D$4:D101,K102),))</f>
        <v>1.6345921978511941E-2</v>
      </c>
      <c r="T102" s="233"/>
      <c r="U102" s="304">
        <f t="shared" si="25"/>
        <v>0.24006493358186454</v>
      </c>
      <c r="V102" s="304">
        <f t="shared" si="26"/>
        <v>0.23546597402054981</v>
      </c>
      <c r="W102" s="304">
        <f t="shared" si="27"/>
        <v>0.23103538435005877</v>
      </c>
      <c r="X102" s="305">
        <f t="shared" si="28"/>
        <v>0.22676166895190697</v>
      </c>
      <c r="Y102" s="304">
        <f t="shared" si="29"/>
        <v>0.22263444278159517</v>
      </c>
      <c r="Z102" s="304">
        <f t="shared" si="30"/>
        <v>0.21864429425460097</v>
      </c>
      <c r="AA102" s="304">
        <f t="shared" si="31"/>
        <v>0.21478266853145578</v>
      </c>
      <c r="AB102" s="103"/>
      <c r="AC102" s="149">
        <f>SUM(Model_Mthly!$Q102,-IF(AND(leveraged_property,B102&lt;=amort_period),-PMT(AC$3/12,amort_period,loan_amount),0))</f>
        <v>162808.8453985622</v>
      </c>
      <c r="AD102" s="149">
        <f>AD101+IF(AND(leveraged_property,$B102&lt;=amort_period),PPMT(AD$3/12,$B102,amort_period,loan_amount),0)</f>
        <v>8072427.4531690925</v>
      </c>
      <c r="AE102" s="149">
        <f ca="1">SUM(AC102,Model_Mthly!$AA102,-AD102)</f>
        <v>30825575.526810527</v>
      </c>
      <c r="AF102" s="149">
        <f>SUM(Model_Mthly!$Q102,-IF(AND(leveraged_property,B102&lt;=amort_period),-PMT(AF$3/12,amort_period,loan_amount),0))</f>
        <v>161367.28818020521</v>
      </c>
      <c r="AG102" s="149">
        <f>AG101+IF(AND(leveraged_property,$B102&lt;=amort_period),PPMT(AG$3/12,$B102,amort_period,loan_amount),0)</f>
        <v>8121924.7907263068</v>
      </c>
      <c r="AH102" s="149">
        <f ca="1">SUM(AF102,Model_Mthly!$AA102,-AG102)</f>
        <v>30774636.632034954</v>
      </c>
      <c r="AI102" s="149">
        <f>SUM(Model_Mthly!$Q102,-IF(AND(leveraged_property,B102&lt;=amort_period),-PMT(AI$3/12,amort_period,loan_amount),0))</f>
        <v>159905.9906628785</v>
      </c>
      <c r="AJ102" s="149">
        <f>AJ101+IF(AND(leveraged_property,$B102&lt;=amort_period),PPMT(AJ$3/12,$B102,amort_period,loan_amount),0)</f>
        <v>8170205.426827847</v>
      </c>
      <c r="AK102" s="149">
        <f ca="1">SUM(AI102,Model_Mthly!$AA102,-AJ102)</f>
        <v>30724894.698416092</v>
      </c>
      <c r="AL102" s="229">
        <f>SUM(Model_Mthly!$Q102,-IF(AND(leveraged_property,B102&lt;=amort_period),-PMT(AL$3/12,amort_period,loan_amount),0))</f>
        <v>158425.3872383931</v>
      </c>
      <c r="AM102" s="229">
        <f>AM101+IF(AND(leveraged_property,$B102&lt;=amort_period),PPMT(AM$3/12,$B102,amort_period,loan_amount),0)</f>
        <v>8217270.4083066788</v>
      </c>
      <c r="AN102" s="229">
        <f ca="1">SUM(AL102,Model_Mthly!$AA102,-AM102)</f>
        <v>30676349.113512769</v>
      </c>
      <c r="AO102" s="149">
        <f>SUM(Model_Mthly!$Q102,-IF(AND(leveraged_property,B102&lt;=amort_period),-PMT(AO$3/12,amort_period,loan_amount),0))</f>
        <v>156925.9210042209</v>
      </c>
      <c r="AP102" s="162">
        <f>AP101+IF(AND(leveraged_property,$B102&lt;=amort_period),PPMT(AP$3/12,$B102,amort_period,loan_amount),0)</f>
        <v>8263122.5674348958</v>
      </c>
      <c r="AQ102" s="149">
        <f ca="1">SUM(AO102,Model_Mthly!$AA102,-AP102)</f>
        <v>30628997.488150384</v>
      </c>
      <c r="AR102" s="149">
        <f>SUM(Model_Mthly!$Q102,-IF(AND(leveraged_property,B102&lt;=amort_period),-PMT(AR$3/12,amort_period,loan_amount),0))</f>
        <v>155408.04247684623</v>
      </c>
      <c r="AS102" s="162">
        <f>AS101+IF(AND(leveraged_property,$B102&lt;=amort_period),PPMT(AS$3/12,$B102,amort_period,loan_amount),0)</f>
        <v>8307766.4557506349</v>
      </c>
      <c r="AT102" s="149">
        <f ca="1">SUM(AR102,Model_Mthly!$AA102,-AS102)</f>
        <v>30582835.72130727</v>
      </c>
      <c r="AU102" s="149">
        <f>SUM(Model_Mthly!$Q102,-IF(AND(leveraged_property,B102&lt;=amort_period),-PMT(AU$3/12,amort_period,loan_amount),0))</f>
        <v>153872.20832585095</v>
      </c>
      <c r="AV102" s="162">
        <f>AV101+IF(AND(leveraged_property,$B102&lt;=amort_period),PPMT(AV$3/12,$B102,amort_period,loan_amount),0)</f>
        <v>8351208.2737010773</v>
      </c>
      <c r="AW102" s="149">
        <f ca="1">SUM(AU102,Model_Mthly!$AA102,-AV102)</f>
        <v>30537858.069205828</v>
      </c>
      <c r="AX102" s="103"/>
      <c r="AY102" s="288">
        <f ca="1">IF(AND(leveraged_property,down_payment&gt;0),IRR(($AC$4:AC101,AE102),),"N/A")</f>
        <v>1.7475559277847889E-2</v>
      </c>
      <c r="AZ102" s="288">
        <f ca="1">IF(AND(leveraged_property,down_payment&gt;0),IRR(($AF$4:AF101,AH102),),"N/A")</f>
        <v>1.7377039487887918E-2</v>
      </c>
      <c r="BA102" s="288">
        <f ca="1">IF(AND(leveraged_property,down_payment&gt;0),IRR(($AI$4:AI101,AK102),),"N/A")</f>
        <v>1.7277627239329525E-2</v>
      </c>
      <c r="BB102" s="303">
        <f ca="1">IF(AND(leveraged_property,down_payment&gt;0),IRR(($AL$4:AL101,AN102),),"N/A")</f>
        <v>1.7177355111626214E-2</v>
      </c>
      <c r="BC102" s="288">
        <f ca="1">IF(AND(leveraged_property,down_payment&gt;0),IRR(($AO$4:AO101,AQ102),),"N/A")</f>
        <v>1.7076255823734544E-2</v>
      </c>
      <c r="BD102" s="288">
        <f ca="1">IF(AND(leveraged_property,down_payment&gt;0),IRR(($AR$4:AR101,AT102),),"N/A")</f>
        <v>1.6974362152119536E-2</v>
      </c>
      <c r="BE102" s="288">
        <f ca="1">IF(AND(leveraged_property,down_payment&gt;0),IRR(($AU$4:AU101,AW102),),"N/A")</f>
        <v>1.6871706851544214E-2</v>
      </c>
      <c r="BF102" s="103"/>
      <c r="BG102" s="290">
        <f ca="1">IF(AND(leveraged_property,down_payment&gt;0),((1+AY102)^12)-1,"N/A")</f>
        <v>0.23108440636197036</v>
      </c>
      <c r="BH102" s="290">
        <f ca="1">IF(AND(leveraged_property,down_payment&gt;0),((1+AZ102)^12)-1,"N/A")</f>
        <v>0.22965473144952275</v>
      </c>
      <c r="BI102" s="290">
        <f ca="1">IF(AND(leveraged_property,down_payment&gt;0),((1+BA102)^12)-1,"N/A")</f>
        <v>0.22821364840878822</v>
      </c>
      <c r="BJ102" s="305">
        <f ca="1">IF(AND(leveraged_property,down_payment&gt;0),((1+BB102)^12)-1,"N/A")</f>
        <v>0.22676166895190697</v>
      </c>
      <c r="BK102" s="290">
        <f ca="1">IF(AND(leveraged_property,down_payment&gt;0),((1+BC102)^12)-1,"N/A")</f>
        <v>0.22529930503925577</v>
      </c>
      <c r="BL102" s="290">
        <f ca="1">IF(AND(leveraged_property,down_payment&gt;0),((1+BD102)^12)-1,"N/A")</f>
        <v>0.22382706764472826</v>
      </c>
      <c r="BM102" s="290">
        <f ca="1">IF(AND(leveraged_property,down_payment&gt;0),((1+BE102)^12)-1,"N/A")</f>
        <v>0.22234546557076995</v>
      </c>
    </row>
    <row r="103" spans="1:65">
      <c r="A103" s="137">
        <f>Model_Mthly!A103</f>
        <v>43174</v>
      </c>
      <c r="B103" s="138">
        <f>Model_Mthly!B103</f>
        <v>99</v>
      </c>
      <c r="C103" s="223"/>
      <c r="D103" s="139">
        <f>Model_Mthly!AQ103</f>
        <v>223961.24693144902</v>
      </c>
      <c r="E103" s="231">
        <f>IF(OR($H$3&lt;=0.0075,$H$3=""),0,SUM(Model_Mthly!AQ103,(SUM(Model_Mthly!Q104:Q115)/$E$3)*(1-cost_of_sale),-Model_Mthly!V103))</f>
        <v>34764787.406389639</v>
      </c>
      <c r="F103" s="231">
        <f>IF(OR($H$3&lt;=0.0075,$H$3=""),0,SUM(Model_Mthly!AQ103,(SUM(Model_Mthly!Q104:Q115)/$F$3)*(1-cost_of_sale),-Model_Mthly!V103))</f>
        <v>33340060.102989364</v>
      </c>
      <c r="G103" s="231">
        <f>IF(OR($H$3&lt;=0.0075,$H$3=""),0,SUM(Model_Mthly!AQ103,(SUM(Model_Mthly!Q104:Q115)/$G$3)*(1-cost_of_sale),-Model_Mthly!V103))</f>
        <v>32007250.690131042</v>
      </c>
      <c r="H103" s="232">
        <f>IF(OR($H$3&lt;=0.0075,$H$3=""),0,SUM(Model_Mthly!AQ103,(SUM(Model_Mthly!Q104:Q115)/$H$3)*(1-cost_of_sale),-Model_Mthly!V103))</f>
        <v>30757741.86557636</v>
      </c>
      <c r="I103" s="231">
        <f>IF(OR($H$3&lt;=0.0075,$H$3=""),0,SUM(Model_Mthly!AQ103,(SUM(Model_Mthly!Q104:Q115)/$I$3)*(1-cost_of_sale),-Model_Mthly!V103))</f>
        <v>29583960.848570447</v>
      </c>
      <c r="J103" s="231">
        <f>IF(OR($H$3&lt;=0.0075,$H$3=""),0,SUM(Model_Mthly!AQ103,(SUM(Model_Mthly!Q104:Q115)/$J$3)*(1-cost_of_sale),-Model_Mthly!V103))</f>
        <v>28479225.773741361</v>
      </c>
      <c r="K103" s="231">
        <f>IF(OR($H$3&lt;=0.0075,$H$3=""),0,SUM(Model_Mthly!AQ103,(SUM(Model_Mthly!Q104:Q115)/$K$3)*(1-cost_of_sale),-Model_Mthly!V103))</f>
        <v>27437618.417473931</v>
      </c>
      <c r="L103" s="160"/>
      <c r="M103" s="302">
        <f>IF(OR($H$3&lt;=0.0075,$H$3="",down_payment&lt;=0),"N/A",IRR(($D$4:D102,E103),))</f>
        <v>1.8010021068244536E-2</v>
      </c>
      <c r="N103" s="288">
        <f>IF(OR($H$3&lt;=0.0075,$H$3="",down_payment&lt;=0),"N/A",IRR(($D$4:D102,F103),))</f>
        <v>1.7700038027235108E-2</v>
      </c>
      <c r="O103" s="288">
        <f>IF(OR($H$3&lt;=0.0075,$H$3="",down_payment&lt;=0),"N/A",IRR(($D$4:D102,G103),))</f>
        <v>1.7400451274651358E-2</v>
      </c>
      <c r="P103" s="303">
        <f>IF(OR($H$3&lt;=0.0075,$H$3="",down_payment&lt;=0),"N/A",IRR(($D$4:D102,H103),))</f>
        <v>1.711058204413865E-2</v>
      </c>
      <c r="Q103" s="288">
        <f>IF(OR($H$3&lt;=0.0075,$H$3="",down_payment&lt;=0),"N/A",IRR(($D$4:D102,I103),))</f>
        <v>1.6829815106321217E-2</v>
      </c>
      <c r="R103" s="288">
        <f>IF(OR($H$3&lt;=0.0075,$H$3="",down_payment&lt;=0),"N/A",IRR(($D$4:D102,J103),))</f>
        <v>1.6557591109735086E-2</v>
      </c>
      <c r="S103" s="288">
        <f>IF(OR($H$3&lt;=0.0075,$H$3="",down_payment&lt;=0),"N/A",IRR(($D$4:D102,K103),))</f>
        <v>1.6293400039615245E-2</v>
      </c>
      <c r="T103" s="233"/>
      <c r="U103" s="304">
        <f t="shared" si="25"/>
        <v>0.23886686526995948</v>
      </c>
      <c r="V103" s="304">
        <f t="shared" si="26"/>
        <v>0.23434763405153247</v>
      </c>
      <c r="W103" s="304">
        <f t="shared" si="27"/>
        <v>0.22999433484705123</v>
      </c>
      <c r="X103" s="305">
        <f t="shared" si="28"/>
        <v>0.22579564189094303</v>
      </c>
      <c r="Y103" s="304">
        <f t="shared" si="29"/>
        <v>0.22174132347090114</v>
      </c>
      <c r="Z103" s="304">
        <f t="shared" si="30"/>
        <v>0.21782210687183445</v>
      </c>
      <c r="AA103" s="304">
        <f t="shared" si="31"/>
        <v>0.21402956341027113</v>
      </c>
      <c r="AB103" s="103"/>
      <c r="AC103" s="149">
        <f>SUM(Model_Mthly!$Q103,-IF(AND(leveraged_property,B103&lt;=amort_period),-PMT(AC$3/12,amort_period,loan_amount),0))</f>
        <v>228344.70509161812</v>
      </c>
      <c r="AD103" s="149">
        <f>AD102+IF(AND(leveraged_property,$B103&lt;=amort_period),PPMT(AD$3/12,$B103,amort_period,loan_amount),0)</f>
        <v>8054824.3148700912</v>
      </c>
      <c r="AE103" s="149">
        <f ca="1">SUM(AC103,Model_Mthly!$AA103,-AD103)</f>
        <v>30908293.95141656</v>
      </c>
      <c r="AF103" s="149">
        <f>SUM(Model_Mthly!$Q103,-IF(AND(leveraged_property,B103&lt;=amort_period),-PMT(AF$3/12,amort_period,loan_amount),0))</f>
        <v>226903.14787326113</v>
      </c>
      <c r="AG103" s="149">
        <f>AG102+IF(AND(leveraged_property,$B103&lt;=amort_period),PPMT(AG$3/12,$B103,amort_period,loan_amount),0)</f>
        <v>8104768.0898348466</v>
      </c>
      <c r="AH103" s="149">
        <f ca="1">SUM(AF103,Model_Mthly!$AA103,-AG103)</f>
        <v>30856908.619233444</v>
      </c>
      <c r="AI103" s="149">
        <f>SUM(Model_Mthly!$Q103,-IF(AND(leveraged_property,B103&lt;=amort_period),-PMT(AI$3/12,amort_period,loan_amount),0))</f>
        <v>225441.85035593441</v>
      </c>
      <c r="AJ103" s="149">
        <f>AJ102+IF(AND(leveraged_property,$B103&lt;=amort_period),PPMT(AJ$3/12,$B103,amort_period,loan_amount),0)</f>
        <v>8153490.7238667393</v>
      </c>
      <c r="AK103" s="149">
        <f ca="1">SUM(AI103,Model_Mthly!$AA103,-AJ103)</f>
        <v>30806724.687684231</v>
      </c>
      <c r="AL103" s="229">
        <f>SUM(Model_Mthly!$Q103,-IF(AND(leveraged_property,B103&lt;=amort_period),-PMT(AL$3/12,amort_period,loan_amount),0))</f>
        <v>223961.24693144902</v>
      </c>
      <c r="AM103" s="229">
        <f>AM102+IF(AND(leveraged_property,$B103&lt;=amort_period),PPMT(AM$3/12,$B103,amort_period,loan_amount),0)</f>
        <v>8200992.942550119</v>
      </c>
      <c r="AN103" s="229">
        <f ca="1">SUM(AL103,Model_Mthly!$AA103,-AM103)</f>
        <v>30757741.86557636</v>
      </c>
      <c r="AO103" s="149">
        <f>SUM(Model_Mthly!$Q103,-IF(AND(leveraged_property,B103&lt;=amort_period),-PMT(AO$3/12,amort_period,loan_amount),0))</f>
        <v>222461.78069727682</v>
      </c>
      <c r="AP103" s="162">
        <f>AP102+IF(AND(leveraged_property,$B103&lt;=amort_period),PPMT(AP$3/12,$B103,amort_period,loan_amount),0)</f>
        <v>8247277.2750417171</v>
      </c>
      <c r="AQ103" s="149">
        <f ca="1">SUM(AO103,Model_Mthly!$AA103,-AP103)</f>
        <v>30709958.066850591</v>
      </c>
      <c r="AR103" s="149">
        <f>SUM(Model_Mthly!$Q103,-IF(AND(leveraged_property,B103&lt;=amort_period),-PMT(AR$3/12,amort_period,loan_amount),0))</f>
        <v>220943.90216990214</v>
      </c>
      <c r="AS103" s="162">
        <f>AS102+IF(AND(leveraged_property,$B103&lt;=amort_period),PPMT(AS$3/12,$B103,amort_period,loan_amount),0)</f>
        <v>8292347.9881398762</v>
      </c>
      <c r="AT103" s="149">
        <f ca="1">SUM(AR103,Model_Mthly!$AA103,-AS103)</f>
        <v>30663369.475225061</v>
      </c>
      <c r="AU103" s="149">
        <f>SUM(Model_Mthly!$Q103,-IF(AND(leveraged_property,B103&lt;=amort_period),-PMT(AU$3/12,amort_period,loan_amount),0))</f>
        <v>219408.06801890687</v>
      </c>
      <c r="AV103" s="162">
        <f>AV102+IF(AND(leveraged_property,$B103&lt;=amort_period),PPMT(AV$3/12,$B103,amort_period,loan_amount),0)</f>
        <v>8336211.0160860969</v>
      </c>
      <c r="AW103" s="149">
        <f ca="1">SUM(AU103,Model_Mthly!$AA103,-AV103)</f>
        <v>30617970.613127839</v>
      </c>
      <c r="AX103" s="103"/>
      <c r="AY103" s="288">
        <f ca="1">IF(AND(leveraged_property,down_payment&gt;0),IRR(($AC$4:AC102,AE103),),"N/A")</f>
        <v>1.7408469672953501E-2</v>
      </c>
      <c r="AZ103" s="288">
        <f ca="1">IF(AND(leveraged_property,down_payment&gt;0),IRR(($AF$4:AF102,AH103),),"N/A")</f>
        <v>1.7310058143237519E-2</v>
      </c>
      <c r="BA103" s="288">
        <f ca="1">IF(AND(leveraged_property,down_payment&gt;0),IRR(($AI$4:AI102,AK103),),"N/A")</f>
        <v>1.7210751376355297E-2</v>
      </c>
      <c r="BB103" s="303">
        <f ca="1">IF(AND(leveraged_property,down_payment&gt;0),IRR(($AL$4:AL102,AN103),),"N/A")</f>
        <v>1.711058204413865E-2</v>
      </c>
      <c r="BC103" s="288">
        <f ca="1">IF(AND(leveraged_property,down_payment&gt;0),IRR(($AO$4:AO102,AQ103),),"N/A")</f>
        <v>1.7009582961739721E-2</v>
      </c>
      <c r="BD103" s="288">
        <f ca="1">IF(AND(leveraged_property,down_payment&gt;0),IRR(($AR$4:AR102,AT103),),"N/A")</f>
        <v>1.6907787005273251E-2</v>
      </c>
      <c r="BE103" s="288">
        <f ca="1">IF(AND(leveraged_property,down_payment&gt;0),IRR(($AU$4:AU102,AW103),),"N/A")</f>
        <v>1.6805227032236671E-2</v>
      </c>
      <c r="BF103" s="103"/>
      <c r="BG103" s="290">
        <f ca="1">IF(AND(leveraged_property,down_payment&gt;0),((1+AY103)^12)-1,"N/A")</f>
        <v>0.23011066676333369</v>
      </c>
      <c r="BH103" s="290">
        <f ca="1">IF(AND(leveraged_property,down_payment&gt;0),((1+AZ103)^12)-1,"N/A")</f>
        <v>0.22868359756715684</v>
      </c>
      <c r="BI103" s="290">
        <f ca="1">IF(AND(leveraged_property,down_payment&gt;0),((1+BA103)^12)-1,"N/A")</f>
        <v>0.22724508501920604</v>
      </c>
      <c r="BJ103" s="305">
        <f ca="1">IF(AND(leveraged_property,down_payment&gt;0),((1+BB103)^12)-1,"N/A")</f>
        <v>0.22579564189094303</v>
      </c>
      <c r="BK103" s="290">
        <f ca="1">IF(AND(leveraged_property,down_payment&gt;0),((1+BC103)^12)-1,"N/A")</f>
        <v>0.22433578125534726</v>
      </c>
      <c r="BL103" s="290">
        <f ca="1">IF(AND(leveraged_property,down_payment&gt;0),((1+BD103)^12)-1,"N/A")</f>
        <v>0.22286601524729499</v>
      </c>
      <c r="BM103" s="290">
        <f ca="1">IF(AND(leveraged_property,down_payment&gt;0),((1+BE103)^12)-1,"N/A")</f>
        <v>0.22138685387359769</v>
      </c>
    </row>
    <row r="104" spans="1:65">
      <c r="A104" s="137">
        <f>Model_Mthly!A104</f>
        <v>43205</v>
      </c>
      <c r="B104" s="138">
        <f>Model_Mthly!B104</f>
        <v>100</v>
      </c>
      <c r="C104" s="223"/>
      <c r="D104" s="139">
        <f>Model_Mthly!AQ104</f>
        <v>223942.95218912096</v>
      </c>
      <c r="E104" s="231">
        <f>IF(OR($H$3&lt;=0.0075,$H$3=""),0,SUM(Model_Mthly!AQ104,(SUM(Model_Mthly!Q105:Q116)/$E$3)*(1-cost_of_sale),-Model_Mthly!V104))</f>
        <v>34780649.228429839</v>
      </c>
      <c r="F104" s="231">
        <f>IF(OR($H$3&lt;=0.0075,$H$3=""),0,SUM(Model_Mthly!AQ104,(SUM(Model_Mthly!Q105:Q116)/$F$3)*(1-cost_of_sale),-Model_Mthly!V104))</f>
        <v>33355937.656830408</v>
      </c>
      <c r="G104" s="231">
        <f>IF(OR($H$3&lt;=0.0075,$H$3=""),0,SUM(Model_Mthly!AQ104,(SUM(Model_Mthly!Q105:Q116)/$G$3)*(1-cost_of_sale),-Model_Mthly!V104))</f>
        <v>32023142.960818037</v>
      </c>
      <c r="H104" s="232">
        <f>IF(OR($H$3&lt;=0.0075,$H$3=""),0,SUM(Model_Mthly!AQ104,(SUM(Model_Mthly!Q105:Q116)/$H$3)*(1-cost_of_sale),-Model_Mthly!V104))</f>
        <v>30773647.933306433</v>
      </c>
      <c r="I104" s="231">
        <f>IF(OR($H$3&lt;=0.0075,$H$3=""),0,SUM(Model_Mthly!AQ104,(SUM(Model_Mthly!Q105:Q116)/$I$3)*(1-cost_of_sale),-Model_Mthly!V104))</f>
        <v>29599879.877159186</v>
      </c>
      <c r="J104" s="231">
        <f>IF(OR($H$3&lt;=0.0075,$H$3=""),0,SUM(Model_Mthly!AQ104,(SUM(Model_Mthly!Q105:Q116)/$J$3)*(1-cost_of_sale),-Model_Mthly!V104))</f>
        <v>28495157.000785291</v>
      </c>
      <c r="K104" s="231">
        <f>IF(OR($H$3&lt;=0.0075,$H$3=""),0,SUM(Model_Mthly!AQ104,(SUM(Model_Mthly!Q105:Q116)/$K$3)*(1-cost_of_sale),-Model_Mthly!V104))</f>
        <v>27453561.145918481</v>
      </c>
      <c r="L104" s="160"/>
      <c r="M104" s="302">
        <f>IF(OR($H$3&lt;=0.0075,$H$3="",down_payment&lt;=0),"N/A",IRR(($D$4:D103,E104),))</f>
        <v>1.7929894053884378E-2</v>
      </c>
      <c r="N104" s="288">
        <f>IF(OR($H$3&lt;=0.0075,$H$3="",down_payment&lt;=0),"N/A",IRR(($D$4:D103,F104),))</f>
        <v>1.7624994159452918E-2</v>
      </c>
      <c r="O104" s="288">
        <f>IF(OR($H$3&lt;=0.0075,$H$3="",down_payment&lt;=0),"N/A",IRR(($D$4:D103,G104),))</f>
        <v>1.7330368649336046E-2</v>
      </c>
      <c r="P104" s="303">
        <f>IF(OR($H$3&lt;=0.0075,$H$3="",down_payment&lt;=0),"N/A",IRR(($D$4:D103,H104),))</f>
        <v>1.7045346671577258E-2</v>
      </c>
      <c r="Q104" s="288">
        <f>IF(OR($H$3&lt;=0.0075,$H$3="",down_payment&lt;=0),"N/A",IRR(($D$4:D103,I104),))</f>
        <v>1.6769320185117818E-2</v>
      </c>
      <c r="R104" s="288">
        <f>IF(OR($H$3&lt;=0.0075,$H$3="",down_payment&lt;=0),"N/A",IRR(($D$4:D103,J104),))</f>
        <v>1.6501736387432395E-2</v>
      </c>
      <c r="S104" s="288">
        <f>IF(OR($H$3&lt;=0.0075,$H$3="",down_payment&lt;=0),"N/A",IRR(($D$4:D103,K104),))</f>
        <v>1.6242091247444076E-2</v>
      </c>
      <c r="T104" s="233"/>
      <c r="U104" s="304">
        <f t="shared" si="25"/>
        <v>0.23769724525167124</v>
      </c>
      <c r="V104" s="304">
        <f t="shared" si="26"/>
        <v>0.23325584677769684</v>
      </c>
      <c r="W104" s="304">
        <f t="shared" si="27"/>
        <v>0.22897799661616092</v>
      </c>
      <c r="X104" s="305">
        <f t="shared" si="28"/>
        <v>0.22485253460963772</v>
      </c>
      <c r="Y104" s="304">
        <f t="shared" si="29"/>
        <v>0.2208693785542104</v>
      </c>
      <c r="Z104" s="304">
        <f t="shared" si="30"/>
        <v>0.21701939114785684</v>
      </c>
      <c r="AA104" s="304">
        <f t="shared" si="31"/>
        <v>0.21329426672876028</v>
      </c>
      <c r="AB104" s="103"/>
      <c r="AC104" s="149">
        <f>SUM(Model_Mthly!$Q104,-IF(AND(leveraged_property,B104&lt;=amort_period),-PMT(AC$3/12,amort_period,loan_amount),0))</f>
        <v>228326.41034929006</v>
      </c>
      <c r="AD104" s="149">
        <f>AD103+IF(AND(leveraged_property,$B104&lt;=amort_period),PPMT(AD$3/12,$B104,amort_period,loan_amount),0)</f>
        <v>8037151.4974819897</v>
      </c>
      <c r="AE104" s="149">
        <f ca="1">SUM(AC104,Model_Mthly!$AA104,-AD104)</f>
        <v>30925520.765726786</v>
      </c>
      <c r="AF104" s="149">
        <f>SUM(Model_Mthly!$Q104,-IF(AND(leveraged_property,B104&lt;=amort_period),-PMT(AF$3/12,amort_period,loan_amount),0))</f>
        <v>226884.85313093307</v>
      </c>
      <c r="AG104" s="149">
        <f>AG103+IF(AND(leveraged_property,$B104&lt;=amort_period),PPMT(AG$3/12,$B104,amort_period,loan_amount),0)</f>
        <v>8087539.9026896721</v>
      </c>
      <c r="AH104" s="149">
        <f ca="1">SUM(AF104,Model_Mthly!$AA104,-AG104)</f>
        <v>30873690.803300753</v>
      </c>
      <c r="AI104" s="149">
        <f>SUM(Model_Mthly!$Q104,-IF(AND(leveraged_property,B104&lt;=amort_period),-PMT(AI$3/12,amort_period,loan_amount),0))</f>
        <v>225423.55561360635</v>
      </c>
      <c r="AJ104" s="149">
        <f>AJ103+IF(AND(leveraged_property,$B104&lt;=amort_period),PPMT(AJ$3/12,$B104,amort_period,loan_amount),0)</f>
        <v>8136702.894080176</v>
      </c>
      <c r="AK104" s="149">
        <f ca="1">SUM(AI104,Model_Mthly!$AA104,-AJ104)</f>
        <v>30823066.51439292</v>
      </c>
      <c r="AL104" s="229">
        <f>SUM(Model_Mthly!$Q104,-IF(AND(leveraged_property,B104&lt;=amort_period),-PMT(AL$3/12,amort_period,loan_amount),0))</f>
        <v>223942.95218912096</v>
      </c>
      <c r="AM104" s="229">
        <f>AM103+IF(AND(leveraged_property,$B104&lt;=amort_period),PPMT(AM$3/12,$B104,amort_period,loan_amount),0)</f>
        <v>8184640.871742175</v>
      </c>
      <c r="AN104" s="229">
        <f ca="1">SUM(AL104,Model_Mthly!$AA104,-AM104)</f>
        <v>30773647.933306433</v>
      </c>
      <c r="AO104" s="149">
        <f>SUM(Model_Mthly!$Q104,-IF(AND(leveraged_property,B104&lt;=amort_period),-PMT(AO$3/12,amort_period,loan_amount),0))</f>
        <v>222443.48595494876</v>
      </c>
      <c r="AP104" s="162">
        <f>AP103+IF(AND(leveraged_property,$B104&lt;=amort_period),PPMT(AP$3/12,$B104,amort_period,loan_amount),0)</f>
        <v>8231356.0572891543</v>
      </c>
      <c r="AQ104" s="149">
        <f ca="1">SUM(AO104,Model_Mthly!$AA104,-AP104)</f>
        <v>30725433.281525284</v>
      </c>
      <c r="AR104" s="149">
        <f>SUM(Model_Mthly!$Q104,-IF(AND(leveraged_property,B104&lt;=amort_period),-PMT(AR$3/12,amort_period,loan_amount),0))</f>
        <v>220925.60742757408</v>
      </c>
      <c r="AS104" s="162">
        <f>AS103+IF(AND(leveraged_property,$B104&lt;=amort_period),PPMT(AS$3/12,$B104,amort_period,loan_amount),0)</f>
        <v>8276852.4281910639</v>
      </c>
      <c r="AT104" s="149">
        <f ca="1">SUM(AR104,Model_Mthly!$AA104,-AS104)</f>
        <v>30678419.032095999</v>
      </c>
      <c r="AU104" s="149">
        <f>SUM(Model_Mthly!$Q104,-IF(AND(leveraged_property,B104&lt;=amort_period),-PMT(AU$3/12,amort_period,loan_amount),0))</f>
        <v>219389.77327657881</v>
      </c>
      <c r="AV104" s="162">
        <f>AV103+IF(AND(leveraged_property,$B104&lt;=amort_period),PPMT(AV$3/12,$B104,amort_period,loan_amount),0)</f>
        <v>8321135.6477543712</v>
      </c>
      <c r="AW104" s="149">
        <f ca="1">SUM(AU104,Model_Mthly!$AA104,-AV104)</f>
        <v>30632599.978381701</v>
      </c>
      <c r="AX104" s="103"/>
      <c r="AY104" s="288">
        <f ca="1">IF(AND(leveraged_property,down_payment&gt;0),IRR(($AC$4:AC103,AE104),),"N/A")</f>
        <v>1.7342923608157007E-2</v>
      </c>
      <c r="AZ104" s="288">
        <f ca="1">IF(AND(leveraged_property,down_payment&gt;0),IRR(($AF$4:AF103,AH104),),"N/A")</f>
        <v>1.7244618371470753E-2</v>
      </c>
      <c r="BA104" s="288">
        <f ca="1">IF(AND(leveraged_property,down_payment&gt;0),IRR(($AI$4:AI103,AK104),),"N/A")</f>
        <v>1.7145415138494425E-2</v>
      </c>
      <c r="BB104" s="303">
        <f ca="1">IF(AND(leveraged_property,down_payment&gt;0),IRR(($AL$4:AL103,AN104),),"N/A")</f>
        <v>1.7045346671577258E-2</v>
      </c>
      <c r="BC104" s="288">
        <f ca="1">IF(AND(leveraged_property,down_payment&gt;0),IRR(($AO$4:AO103,AQ104),),"N/A")</f>
        <v>1.6944445880218213E-2</v>
      </c>
      <c r="BD104" s="288">
        <f ca="1">IF(AND(leveraged_property,down_payment&gt;0),IRR(($AR$4:AR103,AT104),),"N/A")</f>
        <v>1.6842745738348777E-2</v>
      </c>
      <c r="BE104" s="288">
        <f ca="1">IF(AND(leveraged_property,down_payment&gt;0),IRR(($AU$4:AU103,AW104),),"N/A")</f>
        <v>1.6740279204391473E-2</v>
      </c>
      <c r="BF104" s="103"/>
      <c r="BG104" s="290">
        <f ca="1">IF(AND(leveraged_property,down_payment&gt;0),((1+AY104)^12)-1,"N/A")</f>
        <v>0.22916001200823199</v>
      </c>
      <c r="BH104" s="290">
        <f ca="1">IF(AND(leveraged_property,down_payment&gt;0),((1+AZ104)^12)-1,"N/A")</f>
        <v>0.2277354933047413</v>
      </c>
      <c r="BI104" s="290">
        <f ca="1">IF(AND(leveraged_property,down_payment&gt;0),((1+BA104)^12)-1,"N/A")</f>
        <v>0.22629949623517787</v>
      </c>
      <c r="BJ104" s="305">
        <f ca="1">IF(AND(leveraged_property,down_payment&gt;0),((1+BB104)^12)-1,"N/A")</f>
        <v>0.22485253460963772</v>
      </c>
      <c r="BK104" s="290">
        <f ca="1">IF(AND(leveraged_property,down_payment&gt;0),((1+BC104)^12)-1,"N/A")</f>
        <v>0.22339512259322247</v>
      </c>
      <c r="BL104" s="290">
        <f ca="1">IF(AND(leveraged_property,down_payment&gt;0),((1+BD104)^12)-1,"N/A")</f>
        <v>0.22192777346154657</v>
      </c>
      <c r="BM104" s="290">
        <f ca="1">IF(AND(leveraged_property,down_payment&gt;0),((1+BE104)^12)-1,"N/A")</f>
        <v>0.22045099840584603</v>
      </c>
    </row>
    <row r="105" spans="1:65">
      <c r="A105" s="137">
        <f>Model_Mthly!A105</f>
        <v>43235</v>
      </c>
      <c r="B105" s="138">
        <f>Model_Mthly!B105</f>
        <v>101</v>
      </c>
      <c r="C105" s="223"/>
      <c r="D105" s="139">
        <f>Model_Mthly!AQ105</f>
        <v>217784.39146229721</v>
      </c>
      <c r="E105" s="231">
        <f>IF(OR($H$3&lt;=0.0075,$H$3=""),0,SUM(Model_Mthly!AQ105,(SUM(Model_Mthly!Q106:Q117)/$E$3)*(1-cost_of_sale),-Model_Mthly!V105))</f>
        <v>34787183.817933165</v>
      </c>
      <c r="F105" s="231">
        <f>IF(OR($H$3&lt;=0.0075,$H$3=""),0,SUM(Model_Mthly!AQ105,(SUM(Model_Mthly!Q106:Q117)/$F$3)*(1-cost_of_sale),-Model_Mthly!V105))</f>
        <v>33362596.70858603</v>
      </c>
      <c r="G105" s="231">
        <f>IF(OR($H$3&lt;=0.0075,$H$3=""),0,SUM(Model_Mthly!AQ105,(SUM(Model_Mthly!Q106:Q117)/$G$3)*(1-cost_of_sale),-Model_Mthly!V105))</f>
        <v>32029918.445003226</v>
      </c>
      <c r="H105" s="232">
        <f>IF(OR($H$3&lt;=0.0075,$H$3=""),0,SUM(Model_Mthly!AQ105,(SUM(Model_Mthly!Q106:Q117)/$H$3)*(1-cost_of_sale),-Model_Mthly!V105))</f>
        <v>30780532.57289435</v>
      </c>
      <c r="I105" s="231">
        <f>IF(OR($H$3&lt;=0.0075,$H$3=""),0,SUM(Model_Mthly!AQ105,(SUM(Model_Mthly!Q106:Q117)/$I$3)*(1-cost_of_sale),-Model_Mthly!V105))</f>
        <v>29606867.056670867</v>
      </c>
      <c r="J105" s="231">
        <f>IF(OR($H$3&lt;=0.0075,$H$3=""),0,SUM(Model_Mthly!AQ105,(SUM(Model_Mthly!Q106:Q117)/$J$3)*(1-cost_of_sale),-Model_Mthly!V105))</f>
        <v>28502240.688460521</v>
      </c>
      <c r="K105" s="231">
        <f>IF(OR($H$3&lt;=0.0075,$H$3=""),0,SUM(Model_Mthly!AQ105,(SUM(Model_Mthly!Q106:Q117)/$K$3)*(1-cost_of_sale),-Model_Mthly!V105))</f>
        <v>27460735.827005059</v>
      </c>
      <c r="L105" s="160"/>
      <c r="M105" s="302">
        <f>IF(OR($H$3&lt;=0.0075,$H$3="",down_payment&lt;=0),"N/A",IRR(($D$4:D104,E105),))</f>
        <v>1.7849638600125499E-2</v>
      </c>
      <c r="N105" s="288">
        <f>IF(OR($H$3&lt;=0.0075,$H$3="",down_payment&lt;=0),"N/A",IRR(($D$4:D104,F105),))</f>
        <v>1.754966874680557E-2</v>
      </c>
      <c r="O105" s="288">
        <f>IF(OR($H$3&lt;=0.0075,$H$3="",down_payment&lt;=0),"N/A",IRR(($D$4:D104,G105),))</f>
        <v>1.7259853233415993E-2</v>
      </c>
      <c r="P105" s="303">
        <f>IF(OR($H$3&lt;=0.0075,$H$3="",down_payment&lt;=0),"N/A",IRR(($D$4:D104,H105),))</f>
        <v>1.6979528966961515E-2</v>
      </c>
      <c r="Q105" s="288">
        <f>IF(OR($H$3&lt;=0.0075,$H$3="",down_payment&lt;=0),"N/A",IRR(($D$4:D104,I105),))</f>
        <v>1.6708094953273109E-2</v>
      </c>
      <c r="R105" s="288">
        <f>IF(OR($H$3&lt;=0.0075,$H$3="",down_payment&lt;=0),"N/A",IRR(($D$4:D104,J105),))</f>
        <v>1.6445004809653763E-2</v>
      </c>
      <c r="S105" s="288">
        <f>IF(OR($H$3&lt;=0.0075,$H$3="",down_payment&lt;=0),"N/A",IRR(($D$4:D104,K105),))</f>
        <v>1.6189760370475145E-2</v>
      </c>
      <c r="T105" s="233"/>
      <c r="U105" s="304">
        <f t="shared" si="25"/>
        <v>0.23652676513184012</v>
      </c>
      <c r="V105" s="304">
        <f t="shared" si="26"/>
        <v>0.23216085367523021</v>
      </c>
      <c r="W105" s="304">
        <f t="shared" si="27"/>
        <v>0.22795615906621691</v>
      </c>
      <c r="X105" s="305">
        <f t="shared" si="28"/>
        <v>0.22390168267678567</v>
      </c>
      <c r="Y105" s="304">
        <f t="shared" si="29"/>
        <v>0.21998748813344338</v>
      </c>
      <c r="Z105" s="304">
        <f t="shared" si="30"/>
        <v>0.21620457021922768</v>
      </c>
      <c r="AA105" s="304">
        <f t="shared" si="31"/>
        <v>0.21254474327290618</v>
      </c>
      <c r="AB105" s="103"/>
      <c r="AC105" s="149">
        <f>SUM(Model_Mthly!$Q105,-IF(AND(leveraged_property,B105&lt;=amort_period),-PMT(AC$3/12,amort_period,loan_amount),0))</f>
        <v>222167.84962246631</v>
      </c>
      <c r="AD105" s="149">
        <f>AD104+IF(AND(leveraged_property,$B105&lt;=amort_period),PPMT(AD$3/12,$B105,amort_period,loan_amount),0)</f>
        <v>8019408.7251917263</v>
      </c>
      <c r="AE105" s="149">
        <f ca="1">SUM(AC105,Model_Mthly!$AA105,-AD105)</f>
        <v>30933721.159805819</v>
      </c>
      <c r="AF105" s="149">
        <f>SUM(Model_Mthly!$Q105,-IF(AND(leveraged_property,B105&lt;=amort_period),-PMT(AF$3/12,amort_period,loan_amount),0))</f>
        <v>220726.29240410932</v>
      </c>
      <c r="AG105" s="149">
        <f>AG104+IF(AND(leveraged_property,$B105&lt;=amort_period),PPMT(AG$3/12,$B105,amort_period,loan_amount),0)</f>
        <v>8070239.9314313922</v>
      </c>
      <c r="AH105" s="149">
        <f ca="1">SUM(AF105,Model_Mthly!$AA105,-AG105)</f>
        <v>30881448.396347798</v>
      </c>
      <c r="AI105" s="149">
        <f>SUM(Model_Mthly!$Q105,-IF(AND(leveraged_property,B105&lt;=amort_period),-PMT(AI$3/12,amort_period,loan_amount),0))</f>
        <v>219264.9948867826</v>
      </c>
      <c r="AJ105" s="149">
        <f>AJ104+IF(AND(leveraged_property,$B105&lt;=amort_period),PPMT(AJ$3/12,$B105,amort_period,loan_amount),0)</f>
        <v>8119841.6175382966</v>
      </c>
      <c r="AK105" s="149">
        <f ca="1">SUM(AI105,Model_Mthly!$AA105,-AJ105)</f>
        <v>30830385.412723571</v>
      </c>
      <c r="AL105" s="229">
        <f>SUM(Model_Mthly!$Q105,-IF(AND(leveraged_property,B105&lt;=amort_period),-PMT(AL$3/12,amort_period,loan_amount),0))</f>
        <v>217784.39146229721</v>
      </c>
      <c r="AM105" s="229">
        <f>AM104+IF(AND(leveraged_property,$B105&lt;=amort_period),PPMT(AM$3/12,$B105,amort_period,loan_amount),0)</f>
        <v>8168213.8539430285</v>
      </c>
      <c r="AN105" s="229">
        <f ca="1">SUM(AL105,Model_Mthly!$AA105,-AM105)</f>
        <v>30780532.57289435</v>
      </c>
      <c r="AO105" s="149">
        <f>SUM(Model_Mthly!$Q105,-IF(AND(leveraged_property,B105&lt;=amort_period),-PMT(AO$3/12,amort_period,loan_amount),0))</f>
        <v>216284.92522812501</v>
      </c>
      <c r="AP105" s="162">
        <f>AP104+IF(AND(leveraged_property,$B105&lt;=amort_period),PPMT(AP$3/12,$B105,amort_period,loan_amount),0)</f>
        <v>8215358.5503681935</v>
      </c>
      <c r="AQ105" s="149">
        <f ca="1">SUM(AO105,Model_Mthly!$AA105,-AP105)</f>
        <v>30731888.410235014</v>
      </c>
      <c r="AR105" s="149">
        <f>SUM(Model_Mthly!$Q105,-IF(AND(leveraged_property,B105&lt;=amort_period),-PMT(AR$3/12,amort_period,loan_amount),0))</f>
        <v>214767.04670075033</v>
      </c>
      <c r="AS105" s="162">
        <f>AS104+IF(AND(leveraged_property,$B105&lt;=amort_period),PPMT(AS$3/12,$B105,amort_period,loan_amount),0)</f>
        <v>8261279.3904425073</v>
      </c>
      <c r="AT105" s="149">
        <f ca="1">SUM(AR105,Model_Mthly!$AA105,-AS105)</f>
        <v>30684449.691633329</v>
      </c>
      <c r="AU105" s="149">
        <f>SUM(Model_Mthly!$Q105,-IF(AND(leveraged_property,B105&lt;=amort_period),-PMT(AU$3/12,amort_period,loan_amount),0))</f>
        <v>213231.21254975506</v>
      </c>
      <c r="AV105" s="162">
        <f>AV104+IF(AND(leveraged_property,$B105&lt;=amort_period),PPMT(AV$3/12,$B105,amort_period,loan_amount),0)</f>
        <v>8305981.7618792513</v>
      </c>
      <c r="AW105" s="149">
        <f ca="1">SUM(AU105,Model_Mthly!$AA105,-AV105)</f>
        <v>30638211.486045584</v>
      </c>
      <c r="AX105" s="103"/>
      <c r="AY105" s="288">
        <f ca="1">IF(AND(leveraged_property,down_payment&gt;0),IRR(($AC$4:AC104,AE105),),"N/A")</f>
        <v>1.7276834152102367E-2</v>
      </c>
      <c r="AZ105" s="288">
        <f ca="1">IF(AND(leveraged_property,down_payment&gt;0),IRR(($AF$4:AF104,AH105),),"N/A")</f>
        <v>1.7178622313110972E-2</v>
      </c>
      <c r="BA105" s="288">
        <f ca="1">IF(AND(leveraged_property,down_payment&gt;0),IRR(($AI$4:AI104,AK105),),"N/A")</f>
        <v>1.7079509633417811E-2</v>
      </c>
      <c r="BB105" s="303">
        <f ca="1">IF(AND(leveraged_property,down_payment&gt;0),IRR(($AL$4:AL104,AN105),),"N/A")</f>
        <v>1.6979528966961515E-2</v>
      </c>
      <c r="BC105" s="288">
        <f ca="1">IF(AND(leveraged_property,down_payment&gt;0),IRR(($AO$4:AO104,AQ105),),"N/A")</f>
        <v>1.6878713318696691E-2</v>
      </c>
      <c r="BD105" s="288">
        <f ca="1">IF(AND(leveraged_property,down_payment&gt;0),IRR(($AR$4:AR104,AT105),),"N/A")</f>
        <v>1.6777095761514104E-2</v>
      </c>
      <c r="BE105" s="288">
        <f ca="1">IF(AND(leveraged_property,down_payment&gt;0),IRR(($AU$4:AU104,AW105),),"N/A")</f>
        <v>1.6674709355934701E-2</v>
      </c>
      <c r="BF105" s="103"/>
      <c r="BG105" s="290">
        <f ca="1">IF(AND(leveraged_property,down_payment&gt;0),((1+AY105)^12)-1,"N/A")</f>
        <v>0.22820215801890131</v>
      </c>
      <c r="BH105" s="290">
        <f ca="1">IF(AND(leveraged_property,down_payment&gt;0),((1+AZ105)^12)-1,"N/A")</f>
        <v>0.22678000870183079</v>
      </c>
      <c r="BI105" s="290">
        <f ca="1">IF(AND(leveraged_property,down_payment&gt;0),((1+BA105)^12)-1,"N/A")</f>
        <v>0.22534634529850206</v>
      </c>
      <c r="BJ105" s="305">
        <f ca="1">IF(AND(leveraged_property,down_payment&gt;0),((1+BB105)^12)-1,"N/A")</f>
        <v>0.22390168267678567</v>
      </c>
      <c r="BK105" s="290">
        <f ca="1">IF(AND(leveraged_property,down_payment&gt;0),((1+BC105)^12)-1,"N/A")</f>
        <v>0.2224465361132002</v>
      </c>
      <c r="BL105" s="290">
        <f ca="1">IF(AND(leveraged_property,down_payment&gt;0),((1+BD105)^12)-1,"N/A")</f>
        <v>0.22098142004352628</v>
      </c>
      <c r="BM105" s="290">
        <f ca="1">IF(AND(leveraged_property,down_payment&gt;0),((1+BE105)^12)-1,"N/A")</f>
        <v>0.21950684686299282</v>
      </c>
    </row>
    <row r="106" spans="1:65">
      <c r="A106" s="137">
        <f>Model_Mthly!A106</f>
        <v>43266</v>
      </c>
      <c r="B106" s="138">
        <f>Model_Mthly!B106</f>
        <v>102</v>
      </c>
      <c r="C106" s="223"/>
      <c r="D106" s="139">
        <f>Model_Mthly!AQ106</f>
        <v>209034.38556586744</v>
      </c>
      <c r="E106" s="231">
        <f>IF(OR($H$3&lt;=0.0075,$H$3=""),0,SUM(Model_Mthly!AQ106,(SUM(Model_Mthly!Q107:Q118)/$E$3)*(1-cost_of_sale),-Model_Mthly!V106))</f>
        <v>34789035.391703814</v>
      </c>
      <c r="F106" s="231">
        <f>IF(OR($H$3&lt;=0.0075,$H$3=""),0,SUM(Model_Mthly!AQ106,(SUM(Model_Mthly!Q107:Q118)/$F$3)*(1-cost_of_sale),-Model_Mthly!V106))</f>
        <v>33364644.973311033</v>
      </c>
      <c r="G106" s="231">
        <f>IF(OR($H$3&lt;=0.0075,$H$3=""),0,SUM(Model_Mthly!AQ106,(SUM(Model_Mthly!Q107:Q118)/$G$3)*(1-cost_of_sale),-Model_Mthly!V106))</f>
        <v>32032150.710943591</v>
      </c>
      <c r="H106" s="232">
        <f>IF(OR($H$3&lt;=0.0075,$H$3=""),0,SUM(Model_Mthly!AQ106,(SUM(Model_Mthly!Q107:Q118)/$H$3)*(1-cost_of_sale),-Model_Mthly!V106))</f>
        <v>30782937.339974109</v>
      </c>
      <c r="I106" s="231">
        <f>IF(OR($H$3&lt;=0.0075,$H$3=""),0,SUM(Model_Mthly!AQ106,(SUM(Model_Mthly!Q107:Q118)/$I$3)*(1-cost_of_sale),-Model_Mthly!V106))</f>
        <v>29609433.870275501</v>
      </c>
      <c r="J106" s="231">
        <f>IF(OR($H$3&lt;=0.0075,$H$3=""),0,SUM(Model_Mthly!AQ106,(SUM(Model_Mthly!Q107:Q118)/$J$3)*(1-cost_of_sale),-Model_Mthly!V106))</f>
        <v>28504960.016441528</v>
      </c>
      <c r="K106" s="231">
        <f>IF(OR($H$3&lt;=0.0075,$H$3=""),0,SUM(Model_Mthly!AQ106,(SUM(Model_Mthly!Q107:Q118)/$K$3)*(1-cost_of_sale),-Model_Mthly!V106))</f>
        <v>27463598.954255197</v>
      </c>
      <c r="L106" s="160"/>
      <c r="M106" s="302">
        <f>IF(OR($H$3&lt;=0.0075,$H$3="",down_payment&lt;=0),"N/A",IRR(($D$4:D105,E106),))</f>
        <v>1.7768963108449456E-2</v>
      </c>
      <c r="N106" s="288">
        <f>IF(OR($H$3&lt;=0.0075,$H$3="",down_payment&lt;=0),"N/A",IRR(($D$4:D105,F106),))</f>
        <v>1.7473758310973381E-2</v>
      </c>
      <c r="O106" s="288">
        <f>IF(OR($H$3&lt;=0.0075,$H$3="",down_payment&lt;=0),"N/A",IRR(($D$4:D105,G106),))</f>
        <v>1.718858970036858E-2</v>
      </c>
      <c r="P106" s="303">
        <f>IF(OR($H$3&lt;=0.0075,$H$3="",down_payment&lt;=0),"N/A",IRR(($D$4:D105,H106),))</f>
        <v>1.6912801789486561E-2</v>
      </c>
      <c r="Q106" s="288">
        <f>IF(OR($H$3&lt;=0.0075,$H$3="",down_payment&lt;=0),"N/A",IRR(($D$4:D105,I106),))</f>
        <v>1.6645800491704433E-2</v>
      </c>
      <c r="R106" s="288">
        <f>IF(OR($H$3&lt;=0.0075,$H$3="",down_payment&lt;=0),"N/A",IRR(($D$4:D105,J106),))</f>
        <v>1.6387045716921751E-2</v>
      </c>
      <c r="S106" s="288">
        <f>IF(OR($H$3&lt;=0.0075,$H$3="",down_payment&lt;=0),"N/A",IRR(($D$4:D105,K106),))</f>
        <v>1.6136045048424377E-2</v>
      </c>
      <c r="T106" s="233"/>
      <c r="U106" s="304">
        <f t="shared" si="25"/>
        <v>0.2353511817275924</v>
      </c>
      <c r="V106" s="304">
        <f t="shared" si="26"/>
        <v>0.23105825787361223</v>
      </c>
      <c r="W106" s="304">
        <f t="shared" si="27"/>
        <v>0.22692427186498554</v>
      </c>
      <c r="X106" s="305">
        <f t="shared" si="28"/>
        <v>0.22293838258203835</v>
      </c>
      <c r="Y106" s="304">
        <f t="shared" si="29"/>
        <v>0.21909079585394875</v>
      </c>
      <c r="Z106" s="304">
        <f t="shared" si="30"/>
        <v>0.21537263526479422</v>
      </c>
      <c r="AA106" s="304">
        <f t="shared" si="31"/>
        <v>0.21177583217146623</v>
      </c>
      <c r="AB106" s="103"/>
      <c r="AC106" s="149">
        <f>SUM(Model_Mthly!$Q106,-IF(AND(leveraged_property,B106&lt;=amort_period),-PMT(AC$3/12,amort_period,loan_amount),0))</f>
        <v>213417.84372603655</v>
      </c>
      <c r="AD106" s="149">
        <f>AD105+IF(AND(leveraged_property,$B106&lt;=amort_period),PPMT(AD$3/12,$B106,amort_period,loan_amount),0)</f>
        <v>8001595.7210944807</v>
      </c>
      <c r="AE106" s="149">
        <f ca="1">SUM(AC106,Model_Mthly!$AA106,-AD106)</f>
        <v>30937436.622685432</v>
      </c>
      <c r="AF106" s="149">
        <f>SUM(Model_Mthly!$Q106,-IF(AND(leveraged_property,B106&lt;=amort_period),-PMT(AF$3/12,amort_period,loan_amount),0))</f>
        <v>211976.28650767956</v>
      </c>
      <c r="AG106" s="149">
        <f>AG105+IF(AND(leveraged_property,$B106&lt;=amort_period),PPMT(AG$3/12,$B106,amort_period,loan_amount),0)</f>
        <v>8052867.8769595362</v>
      </c>
      <c r="AH106" s="149">
        <f ca="1">SUM(AF106,Model_Mthly!$AA106,-AG106)</f>
        <v>30884722.90960202</v>
      </c>
      <c r="AI106" s="149">
        <f>SUM(Model_Mthly!$Q106,-IF(AND(leveraged_property,B106&lt;=amort_period),-PMT(AI$3/12,amort_period,loan_amount),0))</f>
        <v>210514.98899035284</v>
      </c>
      <c r="AJ106" s="149">
        <f>AJ105+IF(AND(leveraged_property,$B106&lt;=amort_period),PPMT(AJ$3/12,$B106,amort_period,loan_amount),0)</f>
        <v>8102906.5729115466</v>
      </c>
      <c r="AK106" s="149">
        <f ca="1">SUM(AI106,Model_Mthly!$AA106,-AJ106)</f>
        <v>30833222.916132681</v>
      </c>
      <c r="AL106" s="229">
        <f>SUM(Model_Mthly!$Q106,-IF(AND(leveraged_property,B106&lt;=amort_period),-PMT(AL$3/12,amort_period,loan_amount),0))</f>
        <v>209034.38556586744</v>
      </c>
      <c r="AM106" s="229">
        <f>AM105+IF(AND(leveraged_property,$B106&lt;=amort_period),PPMT(AM$3/12,$B106,amort_period,loan_amount),0)</f>
        <v>8151711.5456456356</v>
      </c>
      <c r="AN106" s="229">
        <f ca="1">SUM(AL106,Model_Mthly!$AA106,-AM106)</f>
        <v>30782937.339974109</v>
      </c>
      <c r="AO106" s="149">
        <f>SUM(Model_Mthly!$Q106,-IF(AND(leveraged_property,B106&lt;=amort_period),-PMT(AO$3/12,amort_period,loan_amount),0))</f>
        <v>207534.91933169524</v>
      </c>
      <c r="AP106" s="162">
        <f>AP105+IF(AND(leveraged_property,$B106&lt;=amort_period),PPMT(AP$3/12,$B106,amort_period,loan_amount),0)</f>
        <v>8199284.3887265706</v>
      </c>
      <c r="AQ106" s="149">
        <f ca="1">SUM(AO106,Model_Mthly!$AA106,-AP106)</f>
        <v>30733865.030658998</v>
      </c>
      <c r="AR106" s="149">
        <f>SUM(Model_Mthly!$Q106,-IF(AND(leveraged_property,B106&lt;=amort_period),-PMT(AR$3/12,amort_period,loan_amount),0))</f>
        <v>206017.04080432057</v>
      </c>
      <c r="AS106" s="162">
        <f>AS105+IF(AND(leveraged_property,$B106&lt;=amort_period),PPMT(AS$3/12,$B106,amort_period,loan_amount),0)</f>
        <v>8245628.4875052078</v>
      </c>
      <c r="AT106" s="149">
        <f ca="1">SUM(AR106,Model_Mthly!$AA106,-AS106)</f>
        <v>30686003.053352986</v>
      </c>
      <c r="AU106" s="149">
        <f>SUM(Model_Mthly!$Q106,-IF(AND(leveraged_property,B106&lt;=amort_period),-PMT(AU$3/12,amort_period,loan_amount),0))</f>
        <v>204481.20665332529</v>
      </c>
      <c r="AV106" s="162">
        <f>AV105+IF(AND(leveraged_property,$B106&lt;=amort_period),PPMT(AV$3/12,$B106,amort_period,loan_amount),0)</f>
        <v>8290748.9495151984</v>
      </c>
      <c r="AW106" s="149">
        <f ca="1">SUM(AU106,Model_Mthly!$AA106,-AV106)</f>
        <v>30639346.757192004</v>
      </c>
      <c r="AX106" s="103"/>
      <c r="AY106" s="288">
        <f ca="1">IF(AND(leveraged_property,down_payment&gt;0),IRR(($AC$4:AC105,AE106),),"N/A")</f>
        <v>1.7209879162782587E-2</v>
      </c>
      <c r="AZ106" s="288">
        <f ca="1">IF(AND(leveraged_property,down_payment&gt;0),IRR(($AF$4:AF105,AH106),),"N/A")</f>
        <v>1.7111746178445242E-2</v>
      </c>
      <c r="BA106" s="288">
        <f ca="1">IF(AND(leveraged_property,down_payment&gt;0),IRR(($AI$4:AI105,AK106),),"N/A")</f>
        <v>1.7012709404976154E-2</v>
      </c>
      <c r="BB106" s="303">
        <f ca="1">IF(AND(leveraged_property,down_payment&gt;0),IRR(($AL$4:AL105,AN106),),"N/A")</f>
        <v>1.6912801789486561E-2</v>
      </c>
      <c r="BC106" s="288">
        <f ca="1">IF(AND(leveraged_property,down_payment&gt;0),IRR(($AO$4:AO105,AQ106),),"N/A")</f>
        <v>1.6812056434011197E-2</v>
      </c>
      <c r="BD106" s="288">
        <f ca="1">IF(AND(leveraged_property,down_payment&gt;0),IRR(($AR$4:AR105,AT106),),"N/A")</f>
        <v>1.6710506512065446E-2</v>
      </c>
      <c r="BE106" s="288">
        <f ca="1">IF(AND(leveraged_property,down_payment&gt;0),IRR(($AU$4:AU105,AW106),),"N/A")</f>
        <v>1.6608185187969655E-2</v>
      </c>
      <c r="BF106" s="103"/>
      <c r="BG106" s="290">
        <f ca="1">IF(AND(leveraged_property,down_payment&gt;0),((1+AY106)^12)-1,"N/A")</f>
        <v>0.22723245737321784</v>
      </c>
      <c r="BH106" s="290">
        <f ca="1">IF(AND(leveraged_property,down_payment&gt;0),((1+AZ106)^12)-1,"N/A")</f>
        <v>0.22581247781538694</v>
      </c>
      <c r="BI106" s="290">
        <f ca="1">IF(AND(leveraged_property,down_payment&gt;0),((1+BA106)^12)-1,"N/A")</f>
        <v>0.22438094756772609</v>
      </c>
      <c r="BJ106" s="305">
        <f ca="1">IF(AND(leveraged_property,down_payment&gt;0),((1+BB106)^12)-1,"N/A")</f>
        <v>0.22293838258203835</v>
      </c>
      <c r="BK106" s="290">
        <f ca="1">IF(AND(leveraged_property,down_payment&gt;0),((1+BC106)^12)-1,"N/A")</f>
        <v>0.22148529927260729</v>
      </c>
      <c r="BL106" s="290">
        <f ca="1">IF(AND(leveraged_property,down_payment&gt;0),((1+BD106)^12)-1,"N/A")</f>
        <v>0.2200222132619174</v>
      </c>
      <c r="BM106" s="290">
        <f ca="1">IF(AND(leveraged_property,down_payment&gt;0),((1+BE106)^12)-1,"N/A")</f>
        <v>0.21854963817582762</v>
      </c>
    </row>
    <row r="107" spans="1:65">
      <c r="A107" s="137">
        <f>Model_Mthly!A107</f>
        <v>43296</v>
      </c>
      <c r="B107" s="138">
        <f>Model_Mthly!B107</f>
        <v>103</v>
      </c>
      <c r="C107" s="223"/>
      <c r="D107" s="139">
        <f>Model_Mthly!AQ107</f>
        <v>206065.25817879997</v>
      </c>
      <c r="E107" s="231">
        <f>IF(OR($H$3&lt;=0.0075,$H$3=""),0,SUM(Model_Mthly!AQ107,(SUM(Model_Mthly!Q108:Q119)/$E$3)*(1-cost_of_sale),-Model_Mthly!V107))</f>
        <v>34788749.928094357</v>
      </c>
      <c r="F107" s="231">
        <f>IF(OR($H$3&lt;=0.0075,$H$3=""),0,SUM(Model_Mthly!AQ107,(SUM(Model_Mthly!Q108:Q119)/$F$3)*(1-cost_of_sale),-Model_Mthly!V107))</f>
        <v>33364822.652371556</v>
      </c>
      <c r="G107" s="231">
        <f>IF(OR($H$3&lt;=0.0075,$H$3=""),0,SUM(Model_Mthly!AQ107,(SUM(Model_Mthly!Q108:Q119)/$G$3)*(1-cost_of_sale),-Model_Mthly!V107))</f>
        <v>32032761.652501836</v>
      </c>
      <c r="H107" s="232">
        <f>IF(OR($H$3&lt;=0.0075,$H$3=""),0,SUM(Model_Mthly!AQ107,(SUM(Model_Mthly!Q108:Q119)/$H$3)*(1-cost_of_sale),-Model_Mthly!V107))</f>
        <v>30783954.465123974</v>
      </c>
      <c r="I107" s="231">
        <f>IF(OR($H$3&lt;=0.0075,$H$3=""),0,SUM(Model_Mthly!AQ107,(SUM(Model_Mthly!Q108:Q119)/$I$3)*(1-cost_of_sale),-Model_Mthly!V107))</f>
        <v>29610832.561829619</v>
      </c>
      <c r="J107" s="231">
        <f>IF(OR($H$3&lt;=0.0075,$H$3=""),0,SUM(Model_Mthly!AQ107,(SUM(Model_Mthly!Q108:Q119)/$J$3)*(1-cost_of_sale),-Model_Mthly!V107))</f>
        <v>28506717.829317287</v>
      </c>
      <c r="K107" s="231">
        <f>IF(OR($H$3&lt;=0.0075,$H$3=""),0,SUM(Model_Mthly!AQ107,(SUM(Model_Mthly!Q108:Q119)/$K$3)*(1-cost_of_sale),-Model_Mthly!V107))</f>
        <v>27465695.367234223</v>
      </c>
      <c r="L107" s="160"/>
      <c r="M107" s="302">
        <f>IF(OR($H$3&lt;=0.0075,$H$3="",down_payment&lt;=0),"N/A",IRR(($D$4:D106,E107),))</f>
        <v>1.7687875368216831E-2</v>
      </c>
      <c r="N107" s="288">
        <f>IF(OR($H$3&lt;=0.0075,$H$3="",down_payment&lt;=0),"N/A",IRR(($D$4:D106,F107),))</f>
        <v>1.7397317049582837E-2</v>
      </c>
      <c r="O107" s="288">
        <f>IF(OR($H$3&lt;=0.0075,$H$3="",down_payment&lt;=0),"N/A",IRR(($D$4:D106,G107),))</f>
        <v>1.7116678568191754E-2</v>
      </c>
      <c r="P107" s="303">
        <f>IF(OR($H$3&lt;=0.0075,$H$3="",down_payment&lt;=0),"N/A",IRR(($D$4:D106,H107),))</f>
        <v>1.6845311901754187E-2</v>
      </c>
      <c r="Q107" s="288">
        <f>IF(OR($H$3&lt;=0.0075,$H$3="",down_payment&lt;=0),"N/A",IRR(($D$4:D106,I107),))</f>
        <v>1.6582629743111504E-2</v>
      </c>
      <c r="R107" s="288">
        <f>IF(OR($H$3&lt;=0.0075,$H$3="",down_payment&lt;=0),"N/A",IRR(($D$4:D106,J107),))</f>
        <v>1.632809817802449E-2</v>
      </c>
      <c r="S107" s="288">
        <f>IF(OR($H$3&lt;=0.0075,$H$3="",down_payment&lt;=0),"N/A",IRR(($D$4:D106,K107),))</f>
        <v>1.6081230431972311E-2</v>
      </c>
      <c r="T107" s="233"/>
      <c r="U107" s="304">
        <f t="shared" si="25"/>
        <v>0.23417062359215168</v>
      </c>
      <c r="V107" s="304">
        <f t="shared" si="26"/>
        <v>0.22994886586276797</v>
      </c>
      <c r="W107" s="304">
        <f t="shared" si="27"/>
        <v>0.22588381329471208</v>
      </c>
      <c r="X107" s="305">
        <f t="shared" si="28"/>
        <v>0.22196477870987685</v>
      </c>
      <c r="Y107" s="304">
        <f t="shared" si="29"/>
        <v>0.21818210692699647</v>
      </c>
      <c r="Z107" s="304">
        <f t="shared" si="30"/>
        <v>0.21452704742677309</v>
      </c>
      <c r="AA107" s="304">
        <f t="shared" si="31"/>
        <v>0.21099164595045994</v>
      </c>
      <c r="AB107" s="103"/>
      <c r="AC107" s="149">
        <f>SUM(Model_Mthly!$Q107,-IF(AND(leveraged_property,B107&lt;=amort_period),-PMT(AC$3/12,amort_period,loan_amount),0))</f>
        <v>210448.71633896907</v>
      </c>
      <c r="AD107" s="149">
        <f>AD106+IF(AND(leveraged_property,$B107&lt;=amort_period),PPMT(AD$3/12,$B107,amort_period,loan_amount),0)</f>
        <v>7983712.2071893504</v>
      </c>
      <c r="AE107" s="149">
        <f ca="1">SUM(AC107,Model_Mthly!$AA107,-AD107)</f>
        <v>30939759.317863338</v>
      </c>
      <c r="AF107" s="149">
        <f>SUM(Model_Mthly!$Q107,-IF(AND(leveraged_property,B107&lt;=amort_period),-PMT(AF$3/12,amort_period,loan_amount),0))</f>
        <v>209007.15912061208</v>
      </c>
      <c r="AG107" s="149">
        <f>AG106+IF(AND(leveraged_property,$B107&lt;=amort_period),PPMT(AG$3/12,$B107,amort_period,loan_amount),0)</f>
        <v>8035423.4389273813</v>
      </c>
      <c r="AH107" s="149">
        <f ca="1">SUM(AF107,Model_Mthly!$AA107,-AG107)</f>
        <v>30886606.528906949</v>
      </c>
      <c r="AI107" s="149">
        <f>SUM(Model_Mthly!$Q107,-IF(AND(leveraged_property,B107&lt;=amort_period),-PMT(AI$3/12,amort_period,loan_amount),0))</f>
        <v>207545.86160328536</v>
      </c>
      <c r="AJ107" s="149">
        <f>AJ106+IF(AND(leveraged_property,$B107&lt;=amort_period),PPMT(AJ$3/12,$B107,amort_period,loan_amount),0)</f>
        <v>8085897.4374645548</v>
      </c>
      <c r="AK107" s="149">
        <f ca="1">SUM(AI107,Model_Mthly!$AA107,-AJ107)</f>
        <v>30834671.232852448</v>
      </c>
      <c r="AL107" s="229">
        <f>SUM(Model_Mthly!$Q107,-IF(AND(leveraged_property,B107&lt;=amort_period),-PMT(AL$3/12,amort_period,loan_amount),0))</f>
        <v>206065.25817879997</v>
      </c>
      <c r="AM107" s="229">
        <f>AM106+IF(AND(leveraged_property,$B107&lt;=amort_period),PPMT(AM$3/12,$B107,amort_period,loan_amount),0)</f>
        <v>8135133.6017685458</v>
      </c>
      <c r="AN107" s="229">
        <f ca="1">SUM(AL107,Model_Mthly!$AA107,-AM107)</f>
        <v>30783954.465123974</v>
      </c>
      <c r="AO107" s="149">
        <f>SUM(Model_Mthly!$Q107,-IF(AND(leveraged_property,B107&lt;=amort_period),-PMT(AO$3/12,amort_period,loan_amount),0))</f>
        <v>204565.79194462777</v>
      </c>
      <c r="AP107" s="162">
        <f>AP106+IF(AND(leveraged_property,$B107&lt;=amort_period),PPMT(AP$3/12,$B107,amort_period,loan_amount),0)</f>
        <v>8183133.205060415</v>
      </c>
      <c r="AQ107" s="149">
        <f ca="1">SUM(AO107,Model_Mthly!$AA107,-AP107)</f>
        <v>30734455.395597935</v>
      </c>
      <c r="AR107" s="149">
        <f>SUM(Model_Mthly!$Q107,-IF(AND(leveraged_property,B107&lt;=amort_period),-PMT(AR$3/12,amort_period,loan_amount),0))</f>
        <v>203047.91341725309</v>
      </c>
      <c r="AS107" s="162">
        <f>AS106+IF(AND(leveraged_property,$B107&lt;=amort_period),PPMT(AS$3/12,$B107,amort_period,loan_amount),0)</f>
        <v>8229899.3300532214</v>
      </c>
      <c r="AT107" s="149">
        <f ca="1">SUM(AR107,Model_Mthly!$AA107,-AS107)</f>
        <v>30686171.392077748</v>
      </c>
      <c r="AU107" s="149">
        <f>SUM(Model_Mthly!$Q107,-IF(AND(leveraged_property,B107&lt;=amort_period),-PMT(AU$3/12,amort_period,loan_amount),0))</f>
        <v>201512.07926625782</v>
      </c>
      <c r="AV107" s="162">
        <f>AV106+IF(AND(leveraged_property,$B107&lt;=amort_period),PPMT(AV$3/12,$B107,amort_period,loan_amount),0)</f>
        <v>8275436.7995867496</v>
      </c>
      <c r="AW107" s="149">
        <f ca="1">SUM(AU107,Model_Mthly!$AA107,-AV107)</f>
        <v>30639098.088393226</v>
      </c>
      <c r="AX107" s="103"/>
      <c r="AY107" s="288">
        <f ca="1">IF(AND(leveraged_property,down_payment&gt;0),IRR(($AC$4:AC106,AE107),),"N/A")</f>
        <v>1.7142202738331912E-2</v>
      </c>
      <c r="AZ107" s="288">
        <f ca="1">IF(AND(leveraged_property,down_payment&gt;0),IRR(($AF$4:AF106,AH107),),"N/A")</f>
        <v>1.7044134948043573E-2</v>
      </c>
      <c r="BA107" s="288">
        <f ca="1">IF(AND(leveraged_property,down_payment&gt;0),IRR(($AI$4:AI106,AK107),),"N/A")</f>
        <v>1.6945160321946724E-2</v>
      </c>
      <c r="BB107" s="303">
        <f ca="1">IF(AND(leveraged_property,down_payment&gt;0),IRR(($AL$4:AL106,AN107),),"N/A")</f>
        <v>1.6845311901754187E-2</v>
      </c>
      <c r="BC107" s="288">
        <f ca="1">IF(AND(leveraged_property,down_payment&gt;0),IRR(($AO$4:AO106,AQ107),),"N/A")</f>
        <v>1.6744622888055127E-2</v>
      </c>
      <c r="BD107" s="288">
        <f ca="1">IF(AND(leveraged_property,down_payment&gt;0),IRR(($AR$4:AR106,AT107),),"N/A")</f>
        <v>1.6643126556503473E-2</v>
      </c>
      <c r="BE107" s="288">
        <f ca="1">IF(AND(leveraged_property,down_payment&gt;0),IRR(($AU$4:AU106,AW107),),"N/A")</f>
        <v>1.6540856176769231E-2</v>
      </c>
      <c r="BF107" s="103"/>
      <c r="BG107" s="290">
        <f ca="1">IF(AND(leveraged_property,down_payment&gt;0),((1+AY107)^12)-1,"N/A")</f>
        <v>0.22625302150837912</v>
      </c>
      <c r="BH107" s="290">
        <f ca="1">IF(AND(leveraged_property,down_payment&gt;0),((1+AZ107)^12)-1,"N/A")</f>
        <v>0.2248350230256646</v>
      </c>
      <c r="BI107" s="290">
        <f ca="1">IF(AND(leveraged_property,down_payment&gt;0),((1+BA107)^12)-1,"N/A")</f>
        <v>0.22340543640621902</v>
      </c>
      <c r="BJ107" s="305">
        <f ca="1">IF(AND(leveraged_property,down_payment&gt;0),((1+BB107)^12)-1,"N/A")</f>
        <v>0.22196477870987685</v>
      </c>
      <c r="BK107" s="290">
        <f ca="1">IF(AND(leveraged_property,down_payment&gt;0),((1+BC107)^12)-1,"N/A")</f>
        <v>0.22051356751306872</v>
      </c>
      <c r="BL107" s="290">
        <f ca="1">IF(AND(leveraged_property,down_payment&gt;0),((1+BD107)^12)-1,"N/A")</f>
        <v>0.21905231964952332</v>
      </c>
      <c r="BM107" s="290">
        <f ca="1">IF(AND(leveraged_property,down_payment&gt;0),((1+BE107)^12)-1,"N/A")</f>
        <v>0.21758155000043189</v>
      </c>
    </row>
    <row r="108" spans="1:65">
      <c r="A108" s="137">
        <f>Model_Mthly!A108</f>
        <v>43327</v>
      </c>
      <c r="B108" s="138">
        <f>Model_Mthly!B108</f>
        <v>104</v>
      </c>
      <c r="C108" s="223"/>
      <c r="D108" s="139">
        <f>Model_Mthly!AQ108</f>
        <v>223942.95218912096</v>
      </c>
      <c r="E108" s="231">
        <f>IF(OR($H$3&lt;=0.0075,$H$3=""),0,SUM(Model_Mthly!AQ108,(SUM(Model_Mthly!Q109:Q120)/$E$3)*(1-cost_of_sale),-Model_Mthly!V108))</f>
        <v>34822809.594199114</v>
      </c>
      <c r="F108" s="231">
        <f>IF(OR($H$3&lt;=0.0075,$H$3=""),0,SUM(Model_Mthly!AQ108,(SUM(Model_Mthly!Q109:Q120)/$F$3)*(1-cost_of_sale),-Model_Mthly!V108))</f>
        <v>33398898.050277162</v>
      </c>
      <c r="G108" s="231">
        <f>IF(OR($H$3&lt;=0.0075,$H$3=""),0,SUM(Model_Mthly!AQ108,(SUM(Model_Mthly!Q109:Q120)/$G$3)*(1-cost_of_sale),-Model_Mthly!V108))</f>
        <v>32066851.767253395</v>
      </c>
      <c r="H108" s="232">
        <f>IF(OR($H$3&lt;=0.0075,$H$3=""),0,SUM(Model_Mthly!AQ108,(SUM(Model_Mthly!Q109:Q120)/$H$3)*(1-cost_of_sale),-Model_Mthly!V108))</f>
        <v>30818058.376918618</v>
      </c>
      <c r="I108" s="231">
        <f>IF(OR($H$3&lt;=0.0075,$H$3=""),0,SUM(Model_Mthly!AQ108,(SUM(Model_Mthly!Q109:Q120)/$I$3)*(1-cost_of_sale),-Model_Mthly!V108))</f>
        <v>29644949.434482913</v>
      </c>
      <c r="J108" s="231">
        <f>IF(OR($H$3&lt;=0.0075,$H$3=""),0,SUM(Model_Mthly!AQ108,(SUM(Model_Mthly!Q109:Q120)/$J$3)*(1-cost_of_sale),-Model_Mthly!V108))</f>
        <v>28540846.900425781</v>
      </c>
      <c r="K108" s="231">
        <f>IF(OR($H$3&lt;=0.0075,$H$3=""),0,SUM(Model_Mthly!AQ108,(SUM(Model_Mthly!Q109:Q120)/$K$3)*(1-cost_of_sale),-Model_Mthly!V108))</f>
        <v>27499835.939743336</v>
      </c>
      <c r="L108" s="160"/>
      <c r="M108" s="302">
        <f>IF(OR($H$3&lt;=0.0075,$H$3="",down_payment&lt;=0),"N/A",IRR(($D$4:D107,E108),))</f>
        <v>1.7614765147787342E-2</v>
      </c>
      <c r="N108" s="288">
        <f>IF(OR($H$3&lt;=0.0075,$H$3="",down_payment&lt;=0),"N/A",IRR(($D$4:D107,F108),))</f>
        <v>1.732886797955558E-2</v>
      </c>
      <c r="O108" s="288">
        <f>IF(OR($H$3&lt;=0.0075,$H$3="",down_payment&lt;=0),"N/A",IRR(($D$4:D107,G108),))</f>
        <v>1.7052776223519108E-2</v>
      </c>
      <c r="P108" s="303">
        <f>IF(OR($H$3&lt;=0.0075,$H$3="",down_payment&lt;=0),"N/A",IRR(($D$4:D107,H108),))</f>
        <v>1.6785849183892254E-2</v>
      </c>
      <c r="Q108" s="288">
        <f>IF(OR($H$3&lt;=0.0075,$H$3="",down_payment&lt;=0),"N/A",IRR(($D$4:D107,I108),))</f>
        <v>1.6527506207764362E-2</v>
      </c>
      <c r="R108" s="288">
        <f>IF(OR($H$3&lt;=0.0075,$H$3="",down_payment&lt;=0),"N/A",IRR(($D$4:D107,J108),))</f>
        <v>1.6277219443082417E-2</v>
      </c>
      <c r="S108" s="288">
        <f>IF(OR($H$3&lt;=0.0075,$H$3="",down_payment&lt;=0),"N/A",IRR(($D$4:D107,K108),))</f>
        <v>1.6034507654021417E-2</v>
      </c>
      <c r="T108" s="233"/>
      <c r="U108" s="304">
        <f t="shared" si="25"/>
        <v>0.23310709699913779</v>
      </c>
      <c r="V108" s="304">
        <f t="shared" si="26"/>
        <v>0.22895624232393597</v>
      </c>
      <c r="W108" s="304">
        <f t="shared" si="27"/>
        <v>0.22495991001255833</v>
      </c>
      <c r="X108" s="305">
        <f t="shared" si="28"/>
        <v>0.22110756299703205</v>
      </c>
      <c r="Y108" s="304">
        <f t="shared" si="29"/>
        <v>0.21738968164417827</v>
      </c>
      <c r="Z108" s="304">
        <f t="shared" si="30"/>
        <v>0.21379763822997377</v>
      </c>
      <c r="AA108" s="304">
        <f t="shared" si="31"/>
        <v>0.21032359007656476</v>
      </c>
      <c r="AB108" s="103"/>
      <c r="AC108" s="149">
        <f>SUM(Model_Mthly!$Q108,-IF(AND(leveraged_property,B108&lt;=amort_period),-PMT(AC$3/12,amort_period,loan_amount),0))</f>
        <v>228326.41034929006</v>
      </c>
      <c r="AD108" s="149">
        <f>AD107+IF(AND(leveraged_property,$B108&lt;=amort_period),PPMT(AD$3/12,$B108,amort_period,loan_amount),0)</f>
        <v>7965757.904375012</v>
      </c>
      <c r="AE108" s="149">
        <f ca="1">SUM(AC108,Model_Mthly!$AA108,-AD108)</f>
        <v>30975163.60635246</v>
      </c>
      <c r="AF108" s="149">
        <f>SUM(Model_Mthly!$Q108,-IF(AND(leveraged_property,B108&lt;=amort_period),-PMT(AF$3/12,amort_period,loan_amount),0))</f>
        <v>226884.85313093307</v>
      </c>
      <c r="AG108" s="149">
        <f>AG107+IF(AND(leveraged_property,$B108&lt;=amort_period),PPMT(AG$3/12,$B108,amort_period,loan_amount),0)</f>
        <v>8017906.3157367585</v>
      </c>
      <c r="AH108" s="149">
        <f ca="1">SUM(AF108,Model_Mthly!$AA108,-AG108)</f>
        <v>30921573.637772363</v>
      </c>
      <c r="AI108" s="149">
        <f>SUM(Model_Mthly!$Q108,-IF(AND(leveraged_property,B108&lt;=amort_period),-PMT(AI$3/12,amort_period,loan_amount),0))</f>
        <v>225423.55561360635</v>
      </c>
      <c r="AJ108" s="149">
        <f>AJ107+IF(AND(leveraged_property,$B108&lt;=amort_period),PPMT(AJ$3/12,$B108,amort_period,loan_amount),0)</f>
        <v>8068813.8870499823</v>
      </c>
      <c r="AK108" s="149">
        <f ca="1">SUM(AI108,Model_Mthly!$AA108,-AJ108)</f>
        <v>30869204.768941812</v>
      </c>
      <c r="AL108" s="229">
        <f>SUM(Model_Mthly!$Q108,-IF(AND(leveraged_property,B108&lt;=amort_period),-PMT(AL$3/12,amort_period,loan_amount),0))</f>
        <v>223942.95218912096</v>
      </c>
      <c r="AM108" s="229">
        <f>AM107+IF(AND(leveraged_property,$B108&lt;=amort_period),PPMT(AM$3/12,$B108,amort_period,loan_amount),0)</f>
        <v>8118479.6756486865</v>
      </c>
      <c r="AN108" s="229">
        <f ca="1">SUM(AL108,Model_Mthly!$AA108,-AM108)</f>
        <v>30818058.376918618</v>
      </c>
      <c r="AO108" s="149">
        <f>SUM(Model_Mthly!$Q108,-IF(AND(leveraged_property,B108&lt;=amort_period),-PMT(AO$3/12,amort_period,loan_amount),0))</f>
        <v>222443.48595494876</v>
      </c>
      <c r="AP108" s="162">
        <f>AP107+IF(AND(leveraged_property,$B108&lt;=amort_period),PPMT(AP$3/12,$B108,amort_period,loan_amount),0)</f>
        <v>8166904.6303058583</v>
      </c>
      <c r="AQ108" s="149">
        <f ca="1">SUM(AO108,Model_Mthly!$AA108,-AP108)</f>
        <v>30768133.956027277</v>
      </c>
      <c r="AR108" s="149">
        <f>SUM(Model_Mthly!$Q108,-IF(AND(leveraged_property,B108&lt;=amort_period),-PMT(AR$3/12,amort_period,loan_amount),0))</f>
        <v>220925.60742757408</v>
      </c>
      <c r="AS108" s="162">
        <f>AS107+IF(AND(leveraged_property,$B108&lt;=amort_period),PPMT(AS$3/12,$B108,amort_period,loan_amount),0)</f>
        <v>8214091.5268139755</v>
      </c>
      <c r="AT108" s="149">
        <f ca="1">SUM(AR108,Model_Mthly!$AA108,-AS108)</f>
        <v>30719429.180991784</v>
      </c>
      <c r="AU108" s="149">
        <f>SUM(Model_Mthly!$Q108,-IF(AND(leveraged_property,B108&lt;=amort_period),-PMT(AU$3/12,amort_period,loan_amount),0))</f>
        <v>219389.77327657881</v>
      </c>
      <c r="AV108" s="162">
        <f>AV107+IF(AND(leveraged_property,$B108&lt;=amort_period),PPMT(AV$3/12,$B108,amort_period,loan_amount),0)</f>
        <v>8260044.8988774233</v>
      </c>
      <c r="AW108" s="149">
        <f ca="1">SUM(AU108,Model_Mthly!$AA108,-AV108)</f>
        <v>30671939.974777345</v>
      </c>
      <c r="AX108" s="103"/>
      <c r="AY108" s="288">
        <f ca="1">IF(AND(leveraged_property,down_payment&gt;0),IRR(($AC$4:AC107,AE108),),"N/A")</f>
        <v>1.7082449612258369E-2</v>
      </c>
      <c r="AZ108" s="288">
        <f ca="1">IF(AND(leveraged_property,down_payment&gt;0),IRR(($AF$4:AF107,AH108),),"N/A")</f>
        <v>1.6984481269101827E-2</v>
      </c>
      <c r="BA108" s="288">
        <f ca="1">IF(AND(leveraged_property,down_payment&gt;0),IRR(($AI$4:AI107,AK108),),"N/A")</f>
        <v>1.6885603417956165E-2</v>
      </c>
      <c r="BB108" s="303">
        <f ca="1">IF(AND(leveraged_property,down_payment&gt;0),IRR(($AL$4:AL107,AN108),),"N/A")</f>
        <v>1.6785849183892254E-2</v>
      </c>
      <c r="BC108" s="288">
        <f ca="1">IF(AND(leveraged_property,down_payment&gt;0),IRR(($AO$4:AO107,AQ108),),"N/A")</f>
        <v>1.6685251854718555E-2</v>
      </c>
      <c r="BD108" s="288">
        <f ca="1">IF(AND(leveraged_property,down_payment&gt;0),IRR(($AR$4:AR107,AT108),),"N/A")</f>
        <v>1.6583844796831098E-2</v>
      </c>
      <c r="BE108" s="288">
        <f ca="1">IF(AND(leveraged_property,down_payment&gt;0),IRR(($AU$4:AU107,AW108),),"N/A")</f>
        <v>1.6481661373826326E-2</v>
      </c>
      <c r="BF108" s="103"/>
      <c r="BG108" s="290">
        <f ca="1">IF(AND(leveraged_property,down_payment&gt;0),((1+AY108)^12)-1,"N/A")</f>
        <v>0.22538884993536912</v>
      </c>
      <c r="BH108" s="290">
        <f ca="1">IF(AND(leveraged_property,down_payment&gt;0),((1+AZ108)^12)-1,"N/A")</f>
        <v>0.22397320380090724</v>
      </c>
      <c r="BI108" s="290">
        <f ca="1">IF(AND(leveraged_property,down_payment&gt;0),((1+BA108)^12)-1,"N/A")</f>
        <v>0.22254593548216373</v>
      </c>
      <c r="BJ108" s="305">
        <f ca="1">IF(AND(leveraged_property,down_payment&gt;0),((1+BB108)^12)-1,"N/A")</f>
        <v>0.22110756299703205</v>
      </c>
      <c r="BK108" s="290">
        <f ca="1">IF(AND(leveraged_property,down_payment&gt;0),((1+BC108)^12)-1,"N/A")</f>
        <v>0.21965860493396883</v>
      </c>
      <c r="BL108" s="290">
        <f ca="1">IF(AND(leveraged_property,down_payment&gt;0),((1+BD108)^12)-1,"N/A")</f>
        <v>0.21819957918812616</v>
      </c>
      <c r="BM108" s="290">
        <f ca="1">IF(AND(leveraged_property,down_payment&gt;0),((1+BE108)^12)-1,"N/A")</f>
        <v>0.21673100174687376</v>
      </c>
    </row>
    <row r="109" spans="1:65">
      <c r="A109" s="137">
        <f>Model_Mthly!A109</f>
        <v>43358</v>
      </c>
      <c r="B109" s="138">
        <f>Model_Mthly!B109</f>
        <v>105</v>
      </c>
      <c r="C109" s="223"/>
      <c r="D109" s="139">
        <f>Model_Mthly!AQ109</f>
        <v>223942.95218912096</v>
      </c>
      <c r="E109" s="231">
        <f>IF(OR($H$3&lt;=0.0075,$H$3=""),0,SUM(Model_Mthly!AQ109,(SUM(Model_Mthly!Q110:Q121)/$E$3)*(1-cost_of_sale),-Model_Mthly!V109))</f>
        <v>34839067.896788284</v>
      </c>
      <c r="F109" s="231">
        <f>IF(OR($H$3&lt;=0.0075,$H$3=""),0,SUM(Model_Mthly!AQ109,(SUM(Model_Mthly!Q110:Q121)/$F$3)*(1-cost_of_sale),-Model_Mthly!V109))</f>
        <v>33415172.084667165</v>
      </c>
      <c r="G109" s="231">
        <f>IF(OR($H$3&lt;=0.0075,$H$3=""),0,SUM(Model_Mthly!AQ109,(SUM(Model_Mthly!Q110:Q121)/$G$3)*(1-cost_of_sale),-Model_Mthly!V109))</f>
        <v>32083140.518489357</v>
      </c>
      <c r="H109" s="232">
        <f>IF(OR($H$3&lt;=0.0075,$H$3=""),0,SUM(Model_Mthly!AQ109,(SUM(Model_Mthly!Q110:Q121)/$H$3)*(1-cost_of_sale),-Model_Mthly!V109))</f>
        <v>30834360.925197657</v>
      </c>
      <c r="I109" s="231">
        <f>IF(OR($H$3&lt;=0.0075,$H$3=""),0,SUM(Model_Mthly!AQ109,(SUM(Model_Mthly!Q110:Q121)/$I$3)*(1-cost_of_sale),-Model_Mthly!V109))</f>
        <v>29661264.943620604</v>
      </c>
      <c r="J109" s="231">
        <f>IF(OR($H$3&lt;=0.0075,$H$3=""),0,SUM(Model_Mthly!AQ109,(SUM(Model_Mthly!Q110:Q121)/$J$3)*(1-cost_of_sale),-Model_Mthly!V109))</f>
        <v>28557174.608018678</v>
      </c>
      <c r="K109" s="231">
        <f>IF(OR($H$3&lt;=0.0075,$H$3=""),0,SUM(Model_Mthly!AQ109,(SUM(Model_Mthly!Q110:Q121)/$K$3)*(1-cost_of_sale),-Model_Mthly!V109))</f>
        <v>27516175.148736853</v>
      </c>
      <c r="L109" s="160"/>
      <c r="M109" s="302">
        <f>IF(OR($H$3&lt;=0.0075,$H$3="",down_payment&lt;=0),"N/A",IRR(($D$4:D108,E109),))</f>
        <v>1.7543260956636327E-2</v>
      </c>
      <c r="N109" s="288">
        <f>IF(OR($H$3&lt;=0.0075,$H$3="",down_payment&lt;=0),"N/A",IRR(($D$4:D108,F109),))</f>
        <v>1.7261926159555512E-2</v>
      </c>
      <c r="O109" s="288">
        <f>IF(OR($H$3&lt;=0.0075,$H$3="",down_payment&lt;=0),"N/A",IRR(($D$4:D108,G109),))</f>
        <v>1.6990284076831671E-2</v>
      </c>
      <c r="P109" s="303">
        <f>IF(OR($H$3&lt;=0.0075,$H$3="",down_payment&lt;=0),"N/A",IRR(($D$4:D108,H109),))</f>
        <v>1.6727701204055746E-2</v>
      </c>
      <c r="Q109" s="288">
        <f>IF(OR($H$3&lt;=0.0075,$H$3="",down_payment&lt;=0),"N/A",IRR(($D$4:D108,I109),))</f>
        <v>1.6473603419879163E-2</v>
      </c>
      <c r="R109" s="288">
        <f>IF(OR($H$3&lt;=0.0075,$H$3="",down_payment&lt;=0),"N/A",IRR(($D$4:D108,J109),))</f>
        <v>1.6227468822685043E-2</v>
      </c>
      <c r="S109" s="288">
        <f>IF(OR($H$3&lt;=0.0075,$H$3="",down_payment&lt;=0),"N/A",IRR(($D$4:D108,K109),))</f>
        <v>1.5988821613246038E-2</v>
      </c>
      <c r="T109" s="233"/>
      <c r="U109" s="304">
        <f t="shared" si="25"/>
        <v>0.23206774583004219</v>
      </c>
      <c r="V109" s="304">
        <f t="shared" si="26"/>
        <v>0.22798618668530635</v>
      </c>
      <c r="W109" s="304">
        <f t="shared" si="27"/>
        <v>0.22405701279736201</v>
      </c>
      <c r="X109" s="305">
        <f t="shared" si="28"/>
        <v>0.2202698336900839</v>
      </c>
      <c r="Y109" s="304">
        <f t="shared" si="29"/>
        <v>0.21661526210937154</v>
      </c>
      <c r="Z109" s="304">
        <f t="shared" si="30"/>
        <v>0.21308479026245108</v>
      </c>
      <c r="AA109" s="304">
        <f t="shared" si="31"/>
        <v>0.2096706844557723</v>
      </c>
      <c r="AB109" s="103"/>
      <c r="AC109" s="149">
        <f>SUM(Model_Mthly!$Q109,-IF(AND(leveraged_property,B109&lt;=amort_period),-PMT(AC$3/12,amort_period,loan_amount),0))</f>
        <v>228326.41034929006</v>
      </c>
      <c r="AD109" s="149">
        <f>AD108+IF(AND(leveraged_property,$B109&lt;=amort_period),PPMT(AD$3/12,$B109,amort_period,loan_amount),0)</f>
        <v>7947732.5324453674</v>
      </c>
      <c r="AE109" s="149">
        <f ca="1">SUM(AC109,Model_Mthly!$AA109,-AD109)</f>
        <v>30992761.269946571</v>
      </c>
      <c r="AF109" s="149">
        <f>SUM(Model_Mthly!$Q109,-IF(AND(leveraged_property,B109&lt;=amort_period),-PMT(AF$3/12,amort_period,loan_amount),0))</f>
        <v>226884.85313093307</v>
      </c>
      <c r="AG109" s="149">
        <f>AG108+IF(AND(leveraged_property,$B109&lt;=amort_period),PPMT(AG$3/12,$B109,amort_period,loan_amount),0)</f>
        <v>8000316.2045328422</v>
      </c>
      <c r="AH109" s="149">
        <f ca="1">SUM(AF109,Model_Mthly!$AA109,-AG109)</f>
        <v>30938736.040640745</v>
      </c>
      <c r="AI109" s="149">
        <f>SUM(Model_Mthly!$Q109,-IF(AND(leveraged_property,B109&lt;=amort_period),-PMT(AI$3/12,amort_period,loan_amount),0))</f>
        <v>225423.55561360635</v>
      </c>
      <c r="AJ109" s="149">
        <f>AJ108+IF(AND(leveraged_property,$B109&lt;=amort_period),PPMT(AJ$3/12,$B109,amort_period,loan_amount),0)</f>
        <v>8051655.5961023457</v>
      </c>
      <c r="AK109" s="149">
        <f ca="1">SUM(AI109,Model_Mthly!$AA109,-AJ109)</f>
        <v>30885935.351553913</v>
      </c>
      <c r="AL109" s="229">
        <f>SUM(Model_Mthly!$Q109,-IF(AND(leveraged_property,B109&lt;=amort_period),-PMT(AL$3/12,amort_period,loan_amount),0))</f>
        <v>223942.95218912096</v>
      </c>
      <c r="AM109" s="229">
        <f>AM108+IF(AND(leveraged_property,$B109&lt;=amort_period),PPMT(AM$3/12,$B109,amort_period,loan_amount),0)</f>
        <v>8101749.4190341113</v>
      </c>
      <c r="AN109" s="229">
        <f ca="1">SUM(AL109,Model_Mthly!$AA109,-AM109)</f>
        <v>30834360.925197657</v>
      </c>
      <c r="AO109" s="149">
        <f>SUM(Model_Mthly!$Q109,-IF(AND(leveraged_property,B109&lt;=amort_period),-PMT(AO$3/12,amort_period,loan_amount),0))</f>
        <v>222443.48595494876</v>
      </c>
      <c r="AP109" s="162">
        <f>AP108+IF(AND(leveraged_property,$B109&lt;=amort_period),PPMT(AP$3/12,$B109,amort_period,loan_amount),0)</f>
        <v>8150598.2936306028</v>
      </c>
      <c r="AQ109" s="149">
        <f ca="1">SUM(AO109,Model_Mthly!$AA109,-AP109)</f>
        <v>30784012.584366996</v>
      </c>
      <c r="AR109" s="149">
        <f>SUM(Model_Mthly!$Q109,-IF(AND(leveraged_property,B109&lt;=amort_period),-PMT(AR$3/12,amort_period,loan_amount),0))</f>
        <v>220925.60742757408</v>
      </c>
      <c r="AS109" s="162">
        <f>AS108+IF(AND(leveraged_property,$B109&lt;=amort_period),PPMT(AS$3/12,$B109,amort_period,loan_amount),0)</f>
        <v>8198204.6845585331</v>
      </c>
      <c r="AT109" s="149">
        <f ca="1">SUM(AR109,Model_Mthly!$AA109,-AS109)</f>
        <v>30734888.314911693</v>
      </c>
      <c r="AU109" s="149">
        <f>SUM(Model_Mthly!$Q109,-IF(AND(leveraged_property,B109&lt;=amort_period),-PMT(AU$3/12,amort_period,loan_amount),0))</f>
        <v>219389.77327657881</v>
      </c>
      <c r="AV109" s="162">
        <f>AV108+IF(AND(leveraged_property,$B109&lt;=amort_period),PPMT(AV$3/12,$B109,amort_period,loan_amount),0)</f>
        <v>8244572.8320185691</v>
      </c>
      <c r="AW109" s="149">
        <f ca="1">SUM(AU109,Model_Mthly!$AA109,-AV109)</f>
        <v>30686984.333300665</v>
      </c>
      <c r="AX109" s="103"/>
      <c r="AY109" s="288">
        <f ca="1">IF(AND(leveraged_property,down_payment&gt;0),IRR(($AC$4:AC108,AE109),),"N/A")</f>
        <v>1.7024016465293338E-2</v>
      </c>
      <c r="AZ109" s="288">
        <f ca="1">IF(AND(leveraged_property,down_payment&gt;0),IRR(($AF$4:AF108,AH109),),"N/A")</f>
        <v>1.6926145801923281E-2</v>
      </c>
      <c r="BA109" s="288">
        <f ca="1">IF(AND(leveraged_property,down_payment&gt;0),IRR(($AI$4:AI108,AK109),),"N/A")</f>
        <v>1.6827362979282889E-2</v>
      </c>
      <c r="BB109" s="303">
        <f ca="1">IF(AND(leveraged_property,down_payment&gt;0),IRR(($AL$4:AL108,AN109),),"N/A")</f>
        <v>1.6727701204055746E-2</v>
      </c>
      <c r="BC109" s="288">
        <f ca="1">IF(AND(leveraged_property,down_payment&gt;0),IRR(($AO$4:AO108,AQ109),),"N/A")</f>
        <v>1.6627193849526264E-2</v>
      </c>
      <c r="BD109" s="288">
        <f ca="1">IF(AND(leveraged_property,down_payment&gt;0),IRR(($AR$4:AR108,AT109),),"N/A")</f>
        <v>1.6525874371100008E-2</v>
      </c>
      <c r="BE109" s="288">
        <f ca="1">IF(AND(leveraged_property,down_payment&gt;0),IRR(($AU$4:AU108,AW109),),"N/A")</f>
        <v>1.6423776224580532E-2</v>
      </c>
      <c r="BF109" s="103"/>
      <c r="BG109" s="290">
        <f ca="1">IF(AND(leveraged_property,down_payment&gt;0),((1+AY109)^12)-1,"N/A")</f>
        <v>0.22454430830858696</v>
      </c>
      <c r="BH109" s="290">
        <f ca="1">IF(AND(leveraged_property,down_payment&gt;0),((1+AZ109)^12)-1,"N/A")</f>
        <v>0.22313096644293395</v>
      </c>
      <c r="BI109" s="290">
        <f ca="1">IF(AND(leveraged_property,down_payment&gt;0),((1+BA109)^12)-1,"N/A")</f>
        <v>0.22170596858472136</v>
      </c>
      <c r="BJ109" s="305">
        <f ca="1">IF(AND(leveraged_property,down_payment&gt;0),((1+BB109)^12)-1,"N/A")</f>
        <v>0.2202698336900839</v>
      </c>
      <c r="BK109" s="290">
        <f ca="1">IF(AND(leveraged_property,down_payment&gt;0),((1+BC109)^12)-1,"N/A")</f>
        <v>0.21882308133974493</v>
      </c>
      <c r="BL109" s="290">
        <f ca="1">IF(AND(leveraged_property,down_payment&gt;0),((1+BD109)^12)-1,"N/A")</f>
        <v>0.21736623047066539</v>
      </c>
      <c r="BM109" s="290">
        <f ca="1">IF(AND(leveraged_property,down_payment&gt;0),((1+BE109)^12)-1,"N/A")</f>
        <v>0.21589979815697902</v>
      </c>
    </row>
    <row r="110" spans="1:65">
      <c r="A110" s="137">
        <f>Model_Mthly!A110</f>
        <v>43388</v>
      </c>
      <c r="B110" s="138">
        <f>Model_Mthly!B110</f>
        <v>106</v>
      </c>
      <c r="C110" s="223"/>
      <c r="D110" s="139">
        <f>Model_Mthly!AQ110</f>
        <v>223942.95218912096</v>
      </c>
      <c r="E110" s="231">
        <f>IF(OR($H$3&lt;=0.0075,$H$3=""),0,SUM(Model_Mthly!AQ110,(SUM(Model_Mthly!Q111:Q122)/$E$3)*(1-cost_of_sale),-Model_Mthly!V110))</f>
        <v>34855402.879720263</v>
      </c>
      <c r="F110" s="231">
        <f>IF(OR($H$3&lt;=0.0075,$H$3=""),0,SUM(Model_Mthly!AQ110,(SUM(Model_Mthly!Q111:Q122)/$F$3)*(1-cost_of_sale),-Model_Mthly!V110))</f>
        <v>33431522.799400002</v>
      </c>
      <c r="G110" s="231">
        <f>IF(OR($H$3&lt;=0.0075,$H$3=""),0,SUM(Model_Mthly!AQ110,(SUM(Model_Mthly!Q111:Q122)/$G$3)*(1-cost_of_sale),-Model_Mthly!V110))</f>
        <v>32099505.950068139</v>
      </c>
      <c r="H110" s="232">
        <f>IF(OR($H$3&lt;=0.0075,$H$3=""),0,SUM(Model_Mthly!AQ110,(SUM(Model_Mthly!Q111:Q122)/$H$3)*(1-cost_of_sale),-Model_Mthly!V110))</f>
        <v>30850740.153819516</v>
      </c>
      <c r="I110" s="231">
        <f>IF(OR($H$3&lt;=0.0075,$H$3=""),0,SUM(Model_Mthly!AQ110,(SUM(Model_Mthly!Q111:Q122)/$I$3)*(1-cost_of_sale),-Model_Mthly!V110))</f>
        <v>29677657.133101128</v>
      </c>
      <c r="J110" s="231">
        <f>IF(OR($H$3&lt;=0.0075,$H$3=""),0,SUM(Model_Mthly!AQ110,(SUM(Model_Mthly!Q111:Q122)/$J$3)*(1-cost_of_sale),-Model_Mthly!V110))</f>
        <v>28573578.995954394</v>
      </c>
      <c r="K110" s="231">
        <f>IF(OR($H$3&lt;=0.0075,$H$3=""),0,SUM(Model_Mthly!AQ110,(SUM(Model_Mthly!Q111:Q122)/$K$3)*(1-cost_of_sale),-Model_Mthly!V110))</f>
        <v>27532591.038073197</v>
      </c>
      <c r="L110" s="160"/>
      <c r="M110" s="302">
        <f>IF(OR($H$3&lt;=0.0075,$H$3="",down_payment&lt;=0),"N/A",IRR(($D$4:D109,E110),))</f>
        <v>1.747331419615893E-2</v>
      </c>
      <c r="N110" s="288">
        <f>IF(OR($H$3&lt;=0.0075,$H$3="",down_payment&lt;=0),"N/A",IRR(($D$4:D109,F110),))</f>
        <v>1.7196445862313989E-2</v>
      </c>
      <c r="O110" s="288">
        <f>IF(OR($H$3&lt;=0.0075,$H$3="",down_payment&lt;=0),"N/A",IRR(($D$4:D109,G110),))</f>
        <v>1.6929159234721637E-2</v>
      </c>
      <c r="P110" s="303">
        <f>IF(OR($H$3&lt;=0.0075,$H$3="",down_payment&lt;=0),"N/A",IRR(($D$4:D109,H110),))</f>
        <v>1.667082786937682E-2</v>
      </c>
      <c r="Q110" s="288">
        <f>IF(OR($H$3&lt;=0.0075,$H$3="",down_payment&lt;=0),"N/A",IRR(($D$4:D109,I110),))</f>
        <v>1.6420884057601112E-2</v>
      </c>
      <c r="R110" s="288">
        <f>IF(OR($H$3&lt;=0.0075,$H$3="",down_payment&lt;=0),"N/A",IRR(($D$4:D109,J110),))</f>
        <v>1.6178811739946824E-2</v>
      </c>
      <c r="S110" s="288">
        <f>IF(OR($H$3&lt;=0.0075,$H$3="",down_payment&lt;=0),"N/A",IRR(($D$4:D109,K110),))</f>
        <v>1.5944140454893167E-2</v>
      </c>
      <c r="T110" s="233"/>
      <c r="U110" s="304">
        <f t="shared" si="25"/>
        <v>0.23105180978714945</v>
      </c>
      <c r="V110" s="304">
        <f t="shared" si="26"/>
        <v>0.22703798912841222</v>
      </c>
      <c r="W110" s="304">
        <f t="shared" si="27"/>
        <v>0.22317446084683068</v>
      </c>
      <c r="X110" s="305">
        <f t="shared" si="28"/>
        <v>0.21945097766514499</v>
      </c>
      <c r="Y110" s="304">
        <f t="shared" si="29"/>
        <v>0.21585828165220811</v>
      </c>
      <c r="Z110" s="304">
        <f t="shared" si="30"/>
        <v>0.21238798218462107</v>
      </c>
      <c r="AA110" s="304">
        <f t="shared" si="31"/>
        <v>0.20903245204922838</v>
      </c>
      <c r="AB110" s="103"/>
      <c r="AC110" s="149">
        <f>SUM(Model_Mthly!$Q110,-IF(AND(leveraged_property,B110&lt;=amort_period),-PMT(AC$3/12,amort_period,loan_amount),0))</f>
        <v>228326.41034929006</v>
      </c>
      <c r="AD110" s="149">
        <f>AD109+IF(AND(leveraged_property,$B110&lt;=amort_period),PPMT(AD$3/12,$B110,amort_period,loan_amount),0)</f>
        <v>7929635.8100851681</v>
      </c>
      <c r="AE110" s="149">
        <f ca="1">SUM(AC110,Model_Mthly!$AA110,-AD110)</f>
        <v>31010430.283971235</v>
      </c>
      <c r="AF110" s="149">
        <f>SUM(Model_Mthly!$Q110,-IF(AND(leveraged_property,B110&lt;=amort_period),-PMT(AF$3/12,amort_period,loan_amount),0))</f>
        <v>226884.85313093307</v>
      </c>
      <c r="AG110" s="149">
        <f>AG109+IF(AND(leveraged_property,$B110&lt;=amort_period),PPMT(AG$3/12,$B110,amort_period,loan_amount),0)</f>
        <v>7982652.8011989091</v>
      </c>
      <c r="AH110" s="149">
        <f ca="1">SUM(AF110,Model_Mthly!$AA110,-AG110)</f>
        <v>30955971.735639147</v>
      </c>
      <c r="AI110" s="149">
        <f>SUM(Model_Mthly!$Q110,-IF(AND(leveraged_property,B110&lt;=amort_period),-PMT(AI$3/12,amort_period,loan_amount),0))</f>
        <v>225423.55561360635</v>
      </c>
      <c r="AJ110" s="149">
        <f>AJ109+IF(AND(leveraged_property,$B110&lt;=amort_period),PPMT(AJ$3/12,$B110,amort_period,loan_amount),0)</f>
        <v>8034422.2376318136</v>
      </c>
      <c r="AK110" s="149">
        <f ca="1">SUM(AI110,Model_Mthly!$AA110,-AJ110)</f>
        <v>30902741.001688913</v>
      </c>
      <c r="AL110" s="229">
        <f>SUM(Model_Mthly!$Q110,-IF(AND(leveraged_property,B110&lt;=amort_period),-PMT(AL$3/12,amort_period,loan_amount),0))</f>
        <v>223942.95218912096</v>
      </c>
      <c r="AM110" s="229">
        <f>AM109+IF(AND(leveraged_property,$B110&lt;=amort_period),PPMT(AM$3/12,$B110,amort_period,loan_amount),0)</f>
        <v>8084942.4820767194</v>
      </c>
      <c r="AN110" s="229">
        <f ca="1">SUM(AL110,Model_Mthly!$AA110,-AM110)</f>
        <v>30850740.153819516</v>
      </c>
      <c r="AO110" s="149">
        <f>SUM(Model_Mthly!$Q110,-IF(AND(leveraged_property,B110&lt;=amort_period),-PMT(AO$3/12,amort_period,loan_amount),0))</f>
        <v>222443.48595494876</v>
      </c>
      <c r="AP110" s="162">
        <f>AP109+IF(AND(leveraged_property,$B110&lt;=amort_period),PPMT(AP$3/12,$B110,amort_period,loan_amount),0)</f>
        <v>8134213.8224254455</v>
      </c>
      <c r="AQ110" s="149">
        <f ca="1">SUM(AO110,Model_Mthly!$AA110,-AP110)</f>
        <v>30799969.347236618</v>
      </c>
      <c r="AR110" s="149">
        <f>SUM(Model_Mthly!$Q110,-IF(AND(leveraged_property,B110&lt;=amort_period),-PMT(AR$3/12,amort_period,loan_amount),0))</f>
        <v>220925.60742757408</v>
      </c>
      <c r="AS110" s="162">
        <f>AS109+IF(AND(leveraged_property,$B110&lt;=amort_period),PPMT(AS$3/12,$B110,amort_period,loan_amount),0)</f>
        <v>8182238.4080918143</v>
      </c>
      <c r="AT110" s="149">
        <f ca="1">SUM(AR110,Model_Mthly!$AA110,-AS110)</f>
        <v>30750426.883042879</v>
      </c>
      <c r="AU110" s="149">
        <f>SUM(Model_Mthly!$Q110,-IF(AND(leveraged_property,B110&lt;=amort_period),-PMT(AU$3/12,amort_period,loan_amount),0))</f>
        <v>219389.77327657881</v>
      </c>
      <c r="AV110" s="162">
        <f>AV109+IF(AND(leveraged_property,$B110&lt;=amort_period),PPMT(AV$3/12,$B110,amort_period,loan_amount),0)</f>
        <v>8229020.1814781586</v>
      </c>
      <c r="AW110" s="149">
        <f ca="1">SUM(AU110,Model_Mthly!$AA110,-AV110)</f>
        <v>30702109.275505543</v>
      </c>
      <c r="AX110" s="103"/>
      <c r="AY110" s="288">
        <f ca="1">IF(AND(leveraged_property,down_payment&gt;0),IRR(($AC$4:AC109,AE110),),"N/A")</f>
        <v>1.6966863108036523E-2</v>
      </c>
      <c r="AZ110" s="288">
        <f ca="1">IF(AND(leveraged_property,down_payment&gt;0),IRR(($AF$4:AF109,AH110),),"N/A")</f>
        <v>1.6869088389071259E-2</v>
      </c>
      <c r="BA110" s="288">
        <f ca="1">IF(AND(leveraged_property,down_payment&gt;0),IRR(($AI$4:AI109,AK110),),"N/A")</f>
        <v>1.6770398880659766E-2</v>
      </c>
      <c r="BB110" s="303">
        <f ca="1">IF(AND(leveraged_property,down_payment&gt;0),IRR(($AL$4:AL109,AN110),),"N/A")</f>
        <v>1.667082786937682E-2</v>
      </c>
      <c r="BC110" s="288">
        <f ca="1">IF(AND(leveraged_property,down_payment&gt;0),IRR(($AO$4:AO109,AQ110),),"N/A")</f>
        <v>1.6570408812263768E-2</v>
      </c>
      <c r="BD110" s="288">
        <f ca="1">IF(AND(leveraged_property,down_payment&gt;0),IRR(($AR$4:AR109,AT110),),"N/A")</f>
        <v>1.6469175252024681E-2</v>
      </c>
      <c r="BE110" s="288">
        <f ca="1">IF(AND(leveraged_property,down_payment&gt;0),IRR(($AU$4:AU109,AW110),),"N/A")</f>
        <v>1.6367160734970691E-2</v>
      </c>
      <c r="BF110" s="103"/>
      <c r="BG110" s="290">
        <f ca="1">IF(AND(leveraged_property,down_payment&gt;0),((1+AY110)^12)-1,"N/A")</f>
        <v>0.22371877983012478</v>
      </c>
      <c r="BH110" s="290">
        <f ca="1">IF(AND(leveraged_property,down_payment&gt;0),((1+AZ110)^12)-1,"N/A")</f>
        <v>0.22230769537364781</v>
      </c>
      <c r="BI110" s="290">
        <f ca="1">IF(AND(leveraged_property,down_payment&gt;0),((1+BA110)^12)-1,"N/A")</f>
        <v>0.22088492136040161</v>
      </c>
      <c r="BJ110" s="305">
        <f ca="1">IF(AND(leveraged_property,down_payment&gt;0),((1+BB110)^12)-1,"N/A")</f>
        <v>0.21945097766514499</v>
      </c>
      <c r="BK110" s="290">
        <f ca="1">IF(AND(leveraged_property,down_payment&gt;0),((1+BC110)^12)-1,"N/A")</f>
        <v>0.21800638484130497</v>
      </c>
      <c r="BL110" s="290">
        <f ca="1">IF(AND(leveraged_property,down_payment&gt;0),((1+BD110)^12)-1,"N/A")</f>
        <v>0.2165516628482087</v>
      </c>
      <c r="BM110" s="290">
        <f ca="1">IF(AND(leveraged_property,down_payment&gt;0),((1+BE110)^12)-1,"N/A")</f>
        <v>0.2150873298274838</v>
      </c>
    </row>
    <row r="111" spans="1:65">
      <c r="A111" s="137">
        <f>Model_Mthly!A111</f>
        <v>43419</v>
      </c>
      <c r="B111" s="138">
        <f>Model_Mthly!B111</f>
        <v>107</v>
      </c>
      <c r="C111" s="223"/>
      <c r="D111" s="139">
        <f>Model_Mthly!AQ111</f>
        <v>223942.95218912096</v>
      </c>
      <c r="E111" s="231">
        <f>IF(OR($H$3&lt;=0.0075,$H$3=""),0,SUM(Model_Mthly!AQ111,(SUM(Model_Mthly!Q112:Q123)/$E$3)*(1-cost_of_sale),-Model_Mthly!V111))</f>
        <v>34871814.894446626</v>
      </c>
      <c r="F111" s="231">
        <f>IF(OR($H$3&lt;=0.0075,$H$3=""),0,SUM(Model_Mthly!AQ111,(SUM(Model_Mthly!Q112:Q123)/$F$3)*(1-cost_of_sale),-Model_Mthly!V111))</f>
        <v>33447950.545927212</v>
      </c>
      <c r="G111" s="231">
        <f>IF(OR($H$3&lt;=0.0075,$H$3=""),0,SUM(Model_Mthly!AQ111,(SUM(Model_Mthly!Q112:Q123)/$G$3)*(1-cost_of_sale),-Model_Mthly!V111))</f>
        <v>32115948.4134413</v>
      </c>
      <c r="H111" s="232">
        <f>IF(OR($H$3&lt;=0.0075,$H$3=""),0,SUM(Model_Mthly!AQ111,(SUM(Model_Mthly!Q112:Q123)/$H$3)*(1-cost_of_sale),-Model_Mthly!V111))</f>
        <v>30867196.414235771</v>
      </c>
      <c r="I111" s="231">
        <f>IF(OR($H$3&lt;=0.0075,$H$3=""),0,SUM(Model_Mthly!AQ111,(SUM(Model_Mthly!Q112:Q123)/$I$3)*(1-cost_of_sale),-Model_Mthly!V111))</f>
        <v>29694126.354376018</v>
      </c>
      <c r="J111" s="231">
        <f>IF(OR($H$3&lt;=0.0075,$H$3=""),0,SUM(Model_Mthly!AQ111,(SUM(Model_Mthly!Q112:Q123)/$J$3)*(1-cost_of_sale),-Model_Mthly!V111))</f>
        <v>28590060.415684499</v>
      </c>
      <c r="K111" s="231">
        <f>IF(OR($H$3&lt;=0.0075,$H$3=""),0,SUM(Model_Mthly!AQ111,(SUM(Model_Mthly!Q112:Q123)/$K$3)*(1-cost_of_sale),-Model_Mthly!V111))</f>
        <v>27549083.959203914</v>
      </c>
      <c r="L111" s="160"/>
      <c r="M111" s="302">
        <f>IF(OR($H$3&lt;=0.0075,$H$3="",down_payment&lt;=0),"N/A",IRR(($D$4:D110,E111),))</f>
        <v>1.7404878185265808E-2</v>
      </c>
      <c r="N111" s="288">
        <f>IF(OR($H$3&lt;=0.0075,$H$3="",down_payment&lt;=0),"N/A",IRR(($D$4:D110,F111),))</f>
        <v>1.7132383169574179E-2</v>
      </c>
      <c r="O111" s="288">
        <f>IF(OR($H$3&lt;=0.0075,$H$3="",down_payment&lt;=0),"N/A",IRR(($D$4:D110,G111),))</f>
        <v>1.6869360505292145E-2</v>
      </c>
      <c r="P111" s="303">
        <f>IF(OR($H$3&lt;=0.0075,$H$3="",down_payment&lt;=0),"N/A",IRR(($D$4:D110,H111),))</f>
        <v>1.6615190681819082E-2</v>
      </c>
      <c r="Q111" s="288">
        <f>IF(OR($H$3&lt;=0.0075,$H$3="",down_payment&lt;=0),"N/A",IRR(($D$4:D110,I111),))</f>
        <v>1.6369312287888686E-2</v>
      </c>
      <c r="R111" s="288">
        <f>IF(OR($H$3&lt;=0.0075,$H$3="",down_payment&lt;=0),"N/A",IRR(($D$4:D110,J111),))</f>
        <v>1.6131215001284858E-2</v>
      </c>
      <c r="S111" s="288">
        <f>IF(OR($H$3&lt;=0.0075,$H$3="",down_payment&lt;=0),"N/A",IRR(($D$4:D110,K111),))</f>
        <v>1.5900433602367908E-2</v>
      </c>
      <c r="T111" s="233"/>
      <c r="U111" s="304">
        <f t="shared" si="25"/>
        <v>0.23005855976790102</v>
      </c>
      <c r="V111" s="304">
        <f t="shared" si="26"/>
        <v>0.22611096896367311</v>
      </c>
      <c r="W111" s="304">
        <f t="shared" si="27"/>
        <v>0.22231162048350739</v>
      </c>
      <c r="X111" s="305">
        <f t="shared" si="28"/>
        <v>0.21865040697547444</v>
      </c>
      <c r="Y111" s="304">
        <f t="shared" si="29"/>
        <v>0.21511819688297207</v>
      </c>
      <c r="Z111" s="304">
        <f t="shared" si="30"/>
        <v>0.21170671408743846</v>
      </c>
      <c r="AA111" s="304">
        <f t="shared" si="31"/>
        <v>0.20840843544061416</v>
      </c>
      <c r="AB111" s="103"/>
      <c r="AC111" s="149">
        <f>SUM(Model_Mthly!$Q111,-IF(AND(leveraged_property,B111&lt;=amort_period),-PMT(AC$3/12,amort_period,loan_amount),0))</f>
        <v>228326.41034929006</v>
      </c>
      <c r="AD111" s="149">
        <f>AD110+IF(AND(leveraged_property,$B111&lt;=amort_period),PPMT(AD$3/12,$B111,amort_period,loan_amount),0)</f>
        <v>7911467.4548656261</v>
      </c>
      <c r="AE111" s="149">
        <f ca="1">SUM(AC111,Model_Mthly!$AA111,-AD111)</f>
        <v>31028170.930855252</v>
      </c>
      <c r="AF111" s="149">
        <f>SUM(Model_Mthly!$Q111,-IF(AND(leveraged_property,B111&lt;=amort_period),-PMT(AF$3/12,amort_period,loan_amount),0))</f>
        <v>226884.85313093307</v>
      </c>
      <c r="AG111" s="149">
        <f>AG110+IF(AND(leveraged_property,$B111&lt;=amort_period),PPMT(AG$3/12,$B111,amort_period,loan_amount),0)</f>
        <v>7964915.8003510851</v>
      </c>
      <c r="AH111" s="149">
        <f ca="1">SUM(AF111,Model_Mthly!$AA111,-AG111)</f>
        <v>30973281.028151445</v>
      </c>
      <c r="AI111" s="149">
        <f>SUM(Model_Mthly!$Q111,-IF(AND(leveraged_property,B111&lt;=amort_period),-PMT(AI$3/12,amort_period,loan_amount),0))</f>
        <v>225423.55561360635</v>
      </c>
      <c r="AJ111" s="149">
        <f>AJ110+IF(AND(leveraged_property,$B111&lt;=amort_period),PPMT(AJ$3/12,$B111,amort_period,loan_amount),0)</f>
        <v>8017113.4832179733</v>
      </c>
      <c r="AK111" s="149">
        <f ca="1">SUM(AI111,Model_Mthly!$AA111,-AJ111)</f>
        <v>30919622.047767226</v>
      </c>
      <c r="AL111" s="229">
        <f>SUM(Model_Mthly!$Q111,-IF(AND(leveraged_property,B111&lt;=amort_period),-PMT(AL$3/12,amort_period,loan_amount),0))</f>
        <v>223942.95218912096</v>
      </c>
      <c r="AM111" s="229">
        <f>AM110+IF(AND(leveraged_property,$B111&lt;=amort_period),PPMT(AM$3/12,$B111,amort_period,loan_amount),0)</f>
        <v>8068058.5133249387</v>
      </c>
      <c r="AN111" s="229">
        <f ca="1">SUM(AL111,Model_Mthly!$AA111,-AM111)</f>
        <v>30867196.414235771</v>
      </c>
      <c r="AO111" s="149">
        <f>SUM(Model_Mthly!$Q111,-IF(AND(leveraged_property,B111&lt;=amort_period),-PMT(AO$3/12,amort_period,loan_amount),0))</f>
        <v>222443.48595494876</v>
      </c>
      <c r="AP111" s="162">
        <f>AP110+IF(AND(leveraged_property,$B111&lt;=amort_period),PPMT(AP$3/12,$B111,amort_period,loan_amount),0)</f>
        <v>8117750.8422957631</v>
      </c>
      <c r="AQ111" s="149">
        <f ca="1">SUM(AO111,Model_Mthly!$AA111,-AP111)</f>
        <v>30816004.619030777</v>
      </c>
      <c r="AR111" s="149">
        <f>SUM(Model_Mthly!$Q111,-IF(AND(leveraged_property,B111&lt;=amort_period),-PMT(AR$3/12,amort_period,loan_amount),0))</f>
        <v>220925.60742757408</v>
      </c>
      <c r="AS111" s="162">
        <f>AS110+IF(AND(leveraged_property,$B111&lt;=amort_period),PPMT(AS$3/12,$B111,amort_period,loan_amount),0)</f>
        <v>8166192.3002427612</v>
      </c>
      <c r="AT111" s="149">
        <f ca="1">SUM(AR111,Model_Mthly!$AA111,-AS111)</f>
        <v>30766045.282556407</v>
      </c>
      <c r="AU111" s="149">
        <f>SUM(Model_Mthly!$Q111,-IF(AND(leveraged_property,B111&lt;=amort_period),-PMT(AU$3/12,amort_period,loan_amount),0))</f>
        <v>219389.77327657881</v>
      </c>
      <c r="AV111" s="162">
        <f>AV110+IF(AND(leveraged_property,$B111&lt;=amort_period),PPMT(AV$3/12,$B111,amort_period,loan_amount),0)</f>
        <v>8213386.5275495164</v>
      </c>
      <c r="AW111" s="149">
        <f ca="1">SUM(AU111,Model_Mthly!$AA111,-AV111)</f>
        <v>30717315.221098658</v>
      </c>
      <c r="AX111" s="103"/>
      <c r="AY111" s="288">
        <f ca="1">IF(AND(leveraged_property,down_payment&gt;0),IRR(($AC$4:AC110,AE111),),"N/A")</f>
        <v>1.6910950948231501E-2</v>
      </c>
      <c r="AZ111" s="288">
        <f ca="1">IF(AND(leveraged_property,down_payment&gt;0),IRR(($AF$4:AF110,AH111),),"N/A")</f>
        <v>1.6813270469492776E-2</v>
      </c>
      <c r="BA111" s="288">
        <f ca="1">IF(AND(leveraged_property,down_payment&gt;0),IRR(($AI$4:AI110,AK111),),"N/A")</f>
        <v>1.6714672592432207E-2</v>
      </c>
      <c r="BB111" s="303">
        <f ca="1">IF(AND(leveraged_property,down_payment&gt;0),IRR(($AL$4:AL110,AN111),),"N/A")</f>
        <v>1.6615190681819082E-2</v>
      </c>
      <c r="BC111" s="288">
        <f ca="1">IF(AND(leveraged_property,down_payment&gt;0),IRR(($AO$4:AO110,AQ111),),"N/A")</f>
        <v>1.6514858276756191E-2</v>
      </c>
      <c r="BD111" s="288">
        <f ca="1">IF(AND(leveraged_property,down_payment&gt;0),IRR(($AR$4:AR110,AT111),),"N/A")</f>
        <v>1.6413709005555142E-2</v>
      </c>
      <c r="BE111" s="288">
        <f ca="1">IF(AND(leveraged_property,down_payment&gt;0),IRR(($AU$4:AU110,AW111),),"N/A")</f>
        <v>1.6311776503357359E-2</v>
      </c>
      <c r="BF111" s="103"/>
      <c r="BG111" s="290">
        <f ca="1">IF(AND(leveraged_property,down_payment&gt;0),((1+AY111)^12)-1,"N/A")</f>
        <v>0.22291167300990056</v>
      </c>
      <c r="BH111" s="290">
        <f ca="1">IF(AND(leveraged_property,down_payment&gt;0),((1+AZ111)^12)-1,"N/A")</f>
        <v>0.22150280027947078</v>
      </c>
      <c r="BI111" s="290">
        <f ca="1">IF(AND(leveraged_property,down_payment&gt;0),((1+BA111)^12)-1,"N/A")</f>
        <v>0.22008220467666617</v>
      </c>
      <c r="BJ111" s="305">
        <f ca="1">IF(AND(leveraged_property,down_payment&gt;0),((1+BB111)^12)-1,"N/A")</f>
        <v>0.21865040697547444</v>
      </c>
      <c r="BK111" s="290">
        <f ca="1">IF(AND(leveraged_property,down_payment&gt;0),((1+BC111)^12)-1,"N/A")</f>
        <v>0.21720792868267225</v>
      </c>
      <c r="BL111" s="290">
        <f ca="1">IF(AND(leveraged_property,down_payment&gt;0),((1+BD111)^12)-1,"N/A")</f>
        <v>0.21575529076065347</v>
      </c>
      <c r="BM111" s="290">
        <f ca="1">IF(AND(leveraged_property,down_payment&gt;0),((1+BE111)^12)-1,"N/A")</f>
        <v>0.21429301239943599</v>
      </c>
    </row>
    <row r="112" spans="1:65">
      <c r="A112" s="137">
        <f>Model_Mthly!A112</f>
        <v>43449</v>
      </c>
      <c r="B112" s="138">
        <f>Model_Mthly!B112</f>
        <v>108</v>
      </c>
      <c r="C112" s="223"/>
      <c r="D112" s="183">
        <f>Model_Mthly!AQ112</f>
        <v>223942.95218912096</v>
      </c>
      <c r="E112" s="202">
        <f>IF(OR($H$3&lt;=0.0075,$H$3=""),0,SUM(Model_Mthly!AQ112,(SUM(Model_Mthly!Q113:Q124)/$E$3)*(1-cost_of_sale),-Model_Mthly!V112))</f>
        <v>34888304.294029772</v>
      </c>
      <c r="F112" s="202">
        <f>IF(OR($H$3&lt;=0.0075,$H$3=""),0,SUM(Model_Mthly!AQ112,(SUM(Model_Mthly!Q113:Q124)/$F$3)*(1-cost_of_sale),-Model_Mthly!V112))</f>
        <v>33464455.677311201</v>
      </c>
      <c r="G112" s="202">
        <f>IF(OR($H$3&lt;=0.0075,$H$3=""),0,SUM(Model_Mthly!AQ112,(SUM(Model_Mthly!Q113:Q124)/$G$3)*(1-cost_of_sale),-Model_Mthly!V112))</f>
        <v>32132468.261671249</v>
      </c>
      <c r="H112" s="202">
        <f>IF(OR($H$3&lt;=0.0075,$H$3=""),0,SUM(Model_Mthly!AQ112,(SUM(Model_Mthly!Q113:Q124)/$H$3)*(1-cost_of_sale),-Model_Mthly!V112))</f>
        <v>30883730.059508797</v>
      </c>
      <c r="I112" s="202">
        <f>IF(OR($H$3&lt;=0.0075,$H$3=""),0,SUM(Model_Mthly!AQ112,(SUM(Model_Mthly!Q113:Q124)/$I$3)*(1-cost_of_sale),-Model_Mthly!V112))</f>
        <v>29710672.960507702</v>
      </c>
      <c r="J112" s="202">
        <f>IF(OR($H$3&lt;=0.0075,$H$3=""),0,SUM(Model_Mthly!AQ112,(SUM(Model_Mthly!Q113:Q124)/$J$3)*(1-cost_of_sale),-Model_Mthly!V112))</f>
        <v>28606619.220271375</v>
      </c>
      <c r="K112" s="202">
        <f>IF(OR($H$3&lt;=0.0075,$H$3=""),0,SUM(Model_Mthly!AQ112,(SUM(Model_Mthly!Q113:Q124)/$K$3)*(1-cost_of_sale),-Model_Mthly!V112))</f>
        <v>27565654.265191417</v>
      </c>
      <c r="L112" s="160"/>
      <c r="M112" s="289">
        <f>IF(OR($H$3&lt;=0.0075,$H$3="",down_payment&lt;=0),"N/A",IRR(($D$4:D111,E112),))</f>
        <v>1.7337908067511731E-2</v>
      </c>
      <c r="N112" s="289">
        <f>IF(OR($H$3&lt;=0.0075,$H$3="",down_payment&lt;=0),"N/A",IRR(($D$4:D111,F112),))</f>
        <v>1.7069695884226212E-2</v>
      </c>
      <c r="O112" s="289">
        <f>IF(OR($H$3&lt;=0.0075,$H$3="",down_payment&lt;=0),"N/A",IRR(($D$4:D111,G112),))</f>
        <v>1.6810848315268388E-2</v>
      </c>
      <c r="P112" s="289">
        <f>IF(OR($H$3&lt;=0.0075,$H$3="",down_payment&lt;=0),"N/A",IRR(($D$4:D111,H112),))</f>
        <v>1.6560752660251837E-2</v>
      </c>
      <c r="Q112" s="289">
        <f>IF(OR($H$3&lt;=0.0075,$H$3="",down_payment&lt;=0),"N/A",IRR(($D$4:D111,I112),))</f>
        <v>1.6318853693540556E-2</v>
      </c>
      <c r="R112" s="289">
        <f>IF(OR($H$3&lt;=0.0075,$H$3="",down_payment&lt;=0),"N/A",IRR(($D$4:D111,J112),))</f>
        <v>1.6084646728400195E-2</v>
      </c>
      <c r="S112" s="289">
        <f>IF(OR($H$3&lt;=0.0075,$H$3="",down_payment&lt;=0),"N/A",IRR(($D$4:D111,K112),))</f>
        <v>1.5857671694176699E-2</v>
      </c>
      <c r="T112" s="233"/>
      <c r="U112" s="291">
        <f t="shared" si="25"/>
        <v>0.22908729629324309</v>
      </c>
      <c r="V112" s="291">
        <f t="shared" si="26"/>
        <v>0.2252044731623486</v>
      </c>
      <c r="W112" s="291">
        <f t="shared" si="27"/>
        <v>0.22146788378704385</v>
      </c>
      <c r="X112" s="291">
        <f t="shared" si="28"/>
        <v>0.21786755758122323</v>
      </c>
      <c r="Y112" s="291">
        <f t="shared" si="29"/>
        <v>0.21439448651712523</v>
      </c>
      <c r="Z112" s="291">
        <f t="shared" si="30"/>
        <v>0.21104050640943228</v>
      </c>
      <c r="AA112" s="291">
        <f t="shared" si="31"/>
        <v>0.20779819584356662</v>
      </c>
      <c r="AB112" s="103"/>
      <c r="AC112" s="186">
        <f>SUM(Model_Mthly!$Q112,-IF(AND(leveraged_property,B112&lt;=amort_period),-PMT(AC$3/12,amort_period,loan_amount),0))</f>
        <v>228326.41034929006</v>
      </c>
      <c r="AD112" s="186">
        <f>AD111+IF(AND(leveraged_property,$B112&lt;=amort_period),PPMT(AD$3/12,$B112,amort_period,loan_amount),0)</f>
        <v>7893227.1832400067</v>
      </c>
      <c r="AE112" s="186">
        <f ca="1">SUM(AC112,Model_Mthly!$AA112,-AD112)</f>
        <v>31045983.494145337</v>
      </c>
      <c r="AF112" s="186">
        <f>SUM(Model_Mthly!$Q112,-IF(AND(leveraged_property,B112&lt;=amort_period),-PMT(AF$3/12,amort_period,loan_amount),0))</f>
        <v>226884.85313093307</v>
      </c>
      <c r="AG112" s="186">
        <f>AG111+IF(AND(leveraged_property,$B112&lt;=amort_period),PPMT(AG$3/12,$B112,amort_period,loan_amount),0)</f>
        <v>7947104.8953330619</v>
      </c>
      <c r="AH112" s="186">
        <f ca="1">SUM(AF112,Model_Mthly!$AA112,-AG112)</f>
        <v>30990664.224833932</v>
      </c>
      <c r="AI112" s="186">
        <f>SUM(Model_Mthly!$Q112,-IF(AND(leveraged_property,B112&lt;=amort_period),-PMT(AI$3/12,amort_period,loan_amount),0))</f>
        <v>225423.55561360635</v>
      </c>
      <c r="AJ112" s="186">
        <f>AJ111+IF(AND(leveraged_property,$B112&lt;=amort_period),PPMT(AJ$3/12,$B112,amort_period,loan_amount),0)</f>
        <v>7999729.0030035721</v>
      </c>
      <c r="AK112" s="186">
        <f ca="1">SUM(AI112,Model_Mthly!$AA112,-AJ112)</f>
        <v>30936578.819646094</v>
      </c>
      <c r="AL112" s="186">
        <f>SUM(Model_Mthly!$Q112,-IF(AND(leveraged_property,B112&lt;=amort_period),-PMT(AL$3/12,amort_period,loan_amount),0))</f>
        <v>223942.95218912096</v>
      </c>
      <c r="AM112" s="186">
        <f>AM111+IF(AND(leveraged_property,$B112&lt;=amort_period),PPMT(AM$3/12,$B112,amort_period,loan_amount),0)</f>
        <v>8051097.1597163798</v>
      </c>
      <c r="AN112" s="186">
        <f ca="1">SUM(AL112,Model_Mthly!$AA112,-AM112)</f>
        <v>30883730.059508797</v>
      </c>
      <c r="AO112" s="186">
        <f>SUM(Model_Mthly!$Q112,-IF(AND(leveraged_property,B112&lt;=amort_period),-PMT(AO$3/12,amort_period,loan_amount),0))</f>
        <v>222443.48595494876</v>
      </c>
      <c r="AP112" s="186">
        <f>AP111+IF(AND(leveraged_property,$B112&lt;=amort_period),PPMT(AP$3/12,$B112,amort_period,loan_amount),0)</f>
        <v>8101208.9770529596</v>
      </c>
      <c r="AQ112" s="186">
        <f ca="1">SUM(AO112,Model_Mthly!$AA112,-AP112)</f>
        <v>30832118.775938045</v>
      </c>
      <c r="AR112" s="186">
        <f>SUM(Model_Mthly!$Q112,-IF(AND(leveraged_property,B112&lt;=amort_period),-PMT(AR$3/12,amort_period,loan_amount),0))</f>
        <v>220925.60742757408</v>
      </c>
      <c r="AS112" s="186">
        <f>AS111+IF(AND(leveraged_property,$B112&lt;=amort_period),PPMT(AS$3/12,$B112,amort_period,loan_amount),0)</f>
        <v>8150065.9618544634</v>
      </c>
      <c r="AT112" s="186">
        <f ca="1">SUM(AR112,Model_Mthly!$AA112,-AS112)</f>
        <v>30781743.912609167</v>
      </c>
      <c r="AU112" s="186">
        <f>SUM(Model_Mthly!$Q112,-IF(AND(leveraged_property,B112&lt;=amort_period),-PMT(AU$3/12,amort_period,loan_amount),0))</f>
        <v>219389.77327657881</v>
      </c>
      <c r="AV112" s="186">
        <f>AV111+IF(AND(leveraged_property,$B112&lt;=amort_period),PPMT(AV$3/12,$B112,amort_period,loan_amount),0)</f>
        <v>8197671.4483399959</v>
      </c>
      <c r="AW112" s="186">
        <f ca="1">SUM(AU112,Model_Mthly!$AA112,-AV112)</f>
        <v>30732602.591972645</v>
      </c>
      <c r="AX112" s="103"/>
      <c r="AY112" s="289">
        <f ca="1">IF(AND(leveraged_property,down_payment&gt;0),IRR(($AC$4:AC111,AE112),),"N/A")</f>
        <v>1.6856242912784265E-2</v>
      </c>
      <c r="AZ112" s="289">
        <f ca="1">IF(AND(leveraged_property,down_payment&gt;0),IRR(($AF$4:AF111,AH112),),"N/A")</f>
        <v>1.6758655000555199E-2</v>
      </c>
      <c r="BA112" s="289">
        <f ca="1">IF(AND(leveraged_property,down_payment&gt;0),IRR(($AI$4:AI111,AK112),),"N/A")</f>
        <v>1.6660147102613924E-2</v>
      </c>
      <c r="BB112" s="289">
        <f ca="1">IF(AND(leveraged_property,down_payment&gt;0),IRR(($AL$4:AL111,AN112),),"N/A")</f>
        <v>1.6560752660251837E-2</v>
      </c>
      <c r="BC112" s="289">
        <f ca="1">IF(AND(leveraged_property,down_payment&gt;0),IRR(($AO$4:AO111,AQ112),),"N/A")</f>
        <v>1.6460505292959518E-2</v>
      </c>
      <c r="BD112" s="289">
        <f ca="1">IF(AND(leveraged_property,down_payment&gt;0),IRR(($AR$4:AR111,AT112),),"N/A")</f>
        <v>1.6359438712989081E-2</v>
      </c>
      <c r="BE112" s="289">
        <f ca="1">IF(AND(leveraged_property,down_payment&gt;0),IRR(($AU$4:AU111,AW112),),"N/A")</f>
        <v>1.6257586642652814E-2</v>
      </c>
      <c r="BF112" s="103"/>
      <c r="BG112" s="291">
        <f ca="1">IF(AND(leveraged_property,down_payment&gt;0),((1+AY112)^12)-1,"N/A")</f>
        <v>0.22212242038959307</v>
      </c>
      <c r="BH112" s="291">
        <f ca="1">IF(AND(leveraged_property,down_payment&gt;0),((1+AZ112)^12)-1,"N/A")</f>
        <v>0.22071571483718344</v>
      </c>
      <c r="BI112" s="291">
        <f ca="1">IF(AND(leveraged_property,down_payment&gt;0),((1+BA112)^12)-1,"N/A")</f>
        <v>0.21929725334971195</v>
      </c>
      <c r="BJ112" s="291">
        <f ca="1">IF(AND(leveraged_property,down_payment&gt;0),((1+BB112)^12)-1,"N/A")</f>
        <v>0.21786755758122323</v>
      </c>
      <c r="BK112" s="291">
        <f ca="1">IF(AND(leveraged_property,down_payment&gt;0),((1+BC112)^12)-1,"N/A")</f>
        <v>0.21642714997264667</v>
      </c>
      <c r="BL112" s="291">
        <f ca="1">IF(AND(leveraged_property,down_payment&gt;0),((1+BD112)^12)-1,"N/A")</f>
        <v>0.21497655247036374</v>
      </c>
      <c r="BM112" s="291">
        <f ca="1">IF(AND(leveraged_property,down_payment&gt;0),((1+BE112)^12)-1,"N/A")</f>
        <v>0.21351628529381195</v>
      </c>
    </row>
    <row r="113" spans="1:65">
      <c r="A113" s="137">
        <f>Model_Mthly!A113</f>
        <v>43480</v>
      </c>
      <c r="B113" s="138">
        <f>Model_Mthly!B113</f>
        <v>109</v>
      </c>
      <c r="C113" s="223"/>
      <c r="D113" s="139">
        <f>Model_Mthly!AQ113</f>
        <v>223926.19914928018</v>
      </c>
      <c r="E113" s="231">
        <f>IF(OR($H$3&lt;=0.0075,$H$3=""),0,SUM(Model_Mthly!AQ113,(SUM(Model_Mthly!Q114:Q125)/$E$3)*(1-cost_of_sale),-Model_Mthly!V113))</f>
        <v>35533189.931137554</v>
      </c>
      <c r="F113" s="231">
        <f>IF(OR($H$3&lt;=0.0075,$H$3=""),0,SUM(Model_Mthly!AQ113,(SUM(Model_Mthly!Q114:Q125)/$F$3)*(1-cost_of_sale),-Model_Mthly!V113))</f>
        <v>34088412.537852257</v>
      </c>
      <c r="G113" s="231">
        <f>IF(OR($H$3&lt;=0.0075,$H$3=""),0,SUM(Model_Mthly!AQ113,(SUM(Model_Mthly!Q114:Q125)/$G$3)*(1-cost_of_sale),-Model_Mthly!V113))</f>
        <v>32736846.589295052</v>
      </c>
      <c r="H113" s="232">
        <f>IF(OR($H$3&lt;=0.0075,$H$3=""),0,SUM(Model_Mthly!AQ113,(SUM(Model_Mthly!Q114:Q125)/$H$3)*(1-cost_of_sale),-Model_Mthly!V113))</f>
        <v>31469753.512522668</v>
      </c>
      <c r="I113" s="231">
        <f>IF(OR($H$3&lt;=0.0075,$H$3=""),0,SUM(Model_Mthly!AQ113,(SUM(Model_Mthly!Q114:Q125)/$I$3)*(1-cost_of_sale),-Model_Mthly!V113))</f>
        <v>30279453.955554672</v>
      </c>
      <c r="J113" s="231">
        <f>IF(OR($H$3&lt;=0.0075,$H$3=""),0,SUM(Model_Mthly!AQ113,(SUM(Model_Mthly!Q114:Q125)/$J$3)*(1-cost_of_sale),-Model_Mthly!V113))</f>
        <v>29159172.019584797</v>
      </c>
      <c r="K113" s="231">
        <f>IF(OR($H$3&lt;=0.0075,$H$3=""),0,SUM(Model_Mthly!AQ113,(SUM(Model_Mthly!Q114:Q125)/$K$3)*(1-cost_of_sale),-Model_Mthly!V113))</f>
        <v>28102906.19424177</v>
      </c>
      <c r="L113" s="160"/>
      <c r="M113" s="302">
        <f>IF(OR($H$3&lt;=0.0075,$H$3="",down_payment&lt;=0),"N/A",IRR(($D$4:D112,E113),))</f>
        <v>1.7386275183150973E-2</v>
      </c>
      <c r="N113" s="288">
        <f>IF(OR($H$3&lt;=0.0075,$H$3="",down_payment&lt;=0),"N/A",IRR(($D$4:D112,F113),))</f>
        <v>1.7121986201764774E-2</v>
      </c>
      <c r="O113" s="288">
        <f>IF(OR($H$3&lt;=0.0075,$H$3="",down_payment&lt;=0),"N/A",IRR(($D$4:D112,G113),))</f>
        <v>1.6866964170478768E-2</v>
      </c>
      <c r="P113" s="303">
        <f>IF(OR($H$3&lt;=0.0075,$H$3="",down_payment&lt;=0),"N/A",IRR(($D$4:D112,H113),))</f>
        <v>1.6620602633592704E-2</v>
      </c>
      <c r="Q113" s="288">
        <f>IF(OR($H$3&lt;=0.0075,$H$3="",down_payment&lt;=0),"N/A",IRR(($D$4:D112,I113),))</f>
        <v>1.6382352033156352E-2</v>
      </c>
      <c r="R113" s="288">
        <f>IF(OR($H$3&lt;=0.0075,$H$3="",down_payment&lt;=0),"N/A",IRR(($D$4:D112,J113),))</f>
        <v>1.6151712842231589E-2</v>
      </c>
      <c r="S113" s="288">
        <f>IF(OR($H$3&lt;=0.0075,$H$3="",down_payment&lt;=0),"N/A",IRR(($D$4:D112,K113),))</f>
        <v>1.592822970113441E-2</v>
      </c>
      <c r="T113" s="233"/>
      <c r="U113" s="304">
        <f t="shared" si="25"/>
        <v>0.22978869102967381</v>
      </c>
      <c r="V113" s="304">
        <f t="shared" si="26"/>
        <v>0.22596058004881625</v>
      </c>
      <c r="W113" s="304">
        <f t="shared" si="27"/>
        <v>0.22227705521832686</v>
      </c>
      <c r="X113" s="305">
        <f t="shared" si="28"/>
        <v>0.21872825909179228</v>
      </c>
      <c r="Y113" s="304">
        <f t="shared" si="29"/>
        <v>0.21530528576510322</v>
      </c>
      <c r="Z113" s="304">
        <f t="shared" si="30"/>
        <v>0.21200006353267953</v>
      </c>
      <c r="AA113" s="304">
        <f t="shared" si="31"/>
        <v>0.20880525498210267</v>
      </c>
      <c r="AB113" s="103"/>
      <c r="AC113" s="149">
        <f>SUM(Model_Mthly!$Q113,-IF(AND(leveraged_property,B113&lt;=amort_period),-PMT(AC$3/12,amort_period,loan_amount),0))</f>
        <v>228309.65730944928</v>
      </c>
      <c r="AD113" s="149">
        <f>AD112+IF(AND(leveraged_property,$B113&lt;=amort_period),PPMT(AD$3/12,$B113,amort_period,loan_amount),0)</f>
        <v>7874914.7105392022</v>
      </c>
      <c r="AE113" s="149">
        <f ca="1">SUM(AC113,Model_Mthly!$AA113,-AD113)</f>
        <v>31633280.32671408</v>
      </c>
      <c r="AF113" s="149">
        <f>SUM(Model_Mthly!$Q113,-IF(AND(leveraged_property,B113&lt;=amort_period),-PMT(AF$3/12,amort_period,loan_amount),0))</f>
        <v>226868.10009109229</v>
      </c>
      <c r="AG113" s="149">
        <f>AG112+IF(AND(leveraged_property,$B113&lt;=amort_period),PPMT(AG$3/12,$B113,amort_period,loan_amount),0)</f>
        <v>7929219.7782107964</v>
      </c>
      <c r="AH113" s="149">
        <f ca="1">SUM(AF113,Model_Mthly!$AA113,-AG113)</f>
        <v>31577533.701824129</v>
      </c>
      <c r="AI113" s="149">
        <f>SUM(Model_Mthly!$Q113,-IF(AND(leveraged_property,B113&lt;=amort_period),-PMT(AI$3/12,amort_period,loan_amount),0))</f>
        <v>225406.80257376557</v>
      </c>
      <c r="AJ113" s="149">
        <f>AJ112+IF(AND(leveraged_property,$B113&lt;=amort_period),PPMT(AJ$3/12,$B113,amort_period,loan_amount),0)</f>
        <v>7982268.4656882323</v>
      </c>
      <c r="AK113" s="149">
        <f ca="1">SUM(AI113,Model_Mthly!$AA113,-AJ113)</f>
        <v>31523023.716829363</v>
      </c>
      <c r="AL113" s="229">
        <f>SUM(Model_Mthly!$Q113,-IF(AND(leveraged_property,B113&lt;=amort_period),-PMT(AL$3/12,amort_period,loan_amount),0))</f>
        <v>223926.19914928018</v>
      </c>
      <c r="AM113" s="229">
        <f>AM112+IF(AND(leveraged_property,$B113&lt;=amort_period),PPMT(AM$3/12,$B113,amort_period,loan_amount),0)</f>
        <v>8034058.0665704478</v>
      </c>
      <c r="AN113" s="229">
        <f ca="1">SUM(AL113,Model_Mthly!$AA113,-AM113)</f>
        <v>31469753.512522668</v>
      </c>
      <c r="AO113" s="149">
        <f>SUM(Model_Mthly!$Q113,-IF(AND(leveraged_property,B113&lt;=amort_period),-PMT(AO$3/12,amort_period,loan_amount),0))</f>
        <v>222426.73291510798</v>
      </c>
      <c r="AP113" s="162">
        <f>AP112+IF(AND(leveraged_property,$B113&lt;=amort_period),PPMT(AP$3/12,$B113,amort_period,loan_amount),0)</f>
        <v>8084587.8487058673</v>
      </c>
      <c r="AQ113" s="149">
        <f ca="1">SUM(AO113,Model_Mthly!$AA113,-AP113)</f>
        <v>31417724.264153078</v>
      </c>
      <c r="AR113" s="149">
        <f>SUM(Model_Mthly!$Q113,-IF(AND(leveraged_property,B113&lt;=amort_period),-PMT(AR$3/12,amort_period,loan_amount),0))</f>
        <v>220908.8543877333</v>
      </c>
      <c r="AS113" s="162">
        <f>AS112+IF(AND(leveraged_property,$B113&lt;=amort_period),PPMT(AS$3/12,$B113,amort_period,loan_amount),0)</f>
        <v>8133858.9917742237</v>
      </c>
      <c r="AT113" s="149">
        <f ca="1">SUM(AR113,Model_Mthly!$AA113,-AS113)</f>
        <v>31366935.242557339</v>
      </c>
      <c r="AU113" s="149">
        <f>SUM(Model_Mthly!$Q113,-IF(AND(leveraged_property,B113&lt;=amort_period),-PMT(AU$3/12,amort_period,loan_amount),0))</f>
        <v>219373.02023673803</v>
      </c>
      <c r="AV113" s="162">
        <f>AV112+IF(AND(leveraged_property,$B113&lt;=amort_period),PPMT(AV$3/12,$B113,amort_period,loan_amount),0)</f>
        <v>8181874.5197595926</v>
      </c>
      <c r="AW113" s="149">
        <f ca="1">SUM(AU113,Model_Mthly!$AA113,-AV113)</f>
        <v>31317383.880420979</v>
      </c>
      <c r="AX113" s="103"/>
      <c r="AY113" s="288">
        <f ca="1">IF(AND(leveraged_property,down_payment&gt;0),IRR(($AC$4:AC112,AE113),),"N/A")</f>
        <v>1.6913881268191659E-2</v>
      </c>
      <c r="AZ113" s="288">
        <f ca="1">IF(AND(leveraged_property,down_payment&gt;0),IRR(($AF$4:AF112,AH113),),"N/A")</f>
        <v>1.6817026408577823E-2</v>
      </c>
      <c r="BA113" s="288">
        <f ca="1">IF(AND(leveraged_property,down_payment&gt;0),IRR(($AI$4:AI112,AK113),),"N/A")</f>
        <v>1.6719255748647268E-2</v>
      </c>
      <c r="BB113" s="303">
        <f ca="1">IF(AND(leveraged_property,down_payment&gt;0),IRR(($AL$4:AL112,AN113),),"N/A")</f>
        <v>1.6620602633592704E-2</v>
      </c>
      <c r="BC113" s="288">
        <f ca="1">IF(AND(leveraged_property,down_payment&gt;0),IRR(($AO$4:AO112,AQ113),),"N/A")</f>
        <v>1.6521100588322186E-2</v>
      </c>
      <c r="BD113" s="288">
        <f ca="1">IF(AND(leveraged_property,down_payment&gt;0),IRR(($AR$4:AR112,AT113),),"N/A")</f>
        <v>1.642078323219286E-2</v>
      </c>
      <c r="BE113" s="288">
        <f ca="1">IF(AND(leveraged_property,down_payment&gt;0),IRR(($AU$4:AU112,AW113),),"N/A")</f>
        <v>1.6319684196472894E-2</v>
      </c>
      <c r="BF113" s="103"/>
      <c r="BG113" s="290">
        <f ca="1">IF(AND(leveraged_property,down_payment&gt;0),((1+AY113)^12)-1,"N/A")</f>
        <v>0.22295396083394103</v>
      </c>
      <c r="BH113" s="290">
        <f ca="1">IF(AND(leveraged_property,down_payment&gt;0),((1+AZ113)^12)-1,"N/A")</f>
        <v>0.22155694571740825</v>
      </c>
      <c r="BI113" s="290">
        <f ca="1">IF(AND(leveraged_property,down_payment&gt;0),((1+BA113)^12)-1,"N/A")</f>
        <v>0.22014820509306587</v>
      </c>
      <c r="BJ113" s="305">
        <f ca="1">IF(AND(leveraged_property,down_payment&gt;0),((1+BB113)^12)-1,"N/A")</f>
        <v>0.21872825909179228</v>
      </c>
      <c r="BK113" s="290">
        <f ca="1">IF(AND(leveraged_property,down_payment&gt;0),((1+BC113)^12)-1,"N/A")</f>
        <v>0.21729762867321911</v>
      </c>
      <c r="BL113" s="290">
        <f ca="1">IF(AND(leveraged_property,down_payment&gt;0),((1+BD113)^12)-1,"N/A")</f>
        <v>0.21585683434616354</v>
      </c>
      <c r="BM113" s="290">
        <f ca="1">IF(AND(leveraged_property,down_payment&gt;0),((1+BE113)^12)-1,"N/A")</f>
        <v>0.21440639493792957</v>
      </c>
    </row>
    <row r="114" spans="1:65">
      <c r="A114" s="137">
        <f>Model_Mthly!A114</f>
        <v>43511</v>
      </c>
      <c r="B114" s="138">
        <f>Model_Mthly!B114</f>
        <v>110</v>
      </c>
      <c r="C114" s="223"/>
      <c r="D114" s="139">
        <f>Model_Mthly!AQ114</f>
        <v>156224.18859041948</v>
      </c>
      <c r="E114" s="231">
        <f>IF(OR($H$3&lt;=0.0075,$H$3=""),0,SUM(Model_Mthly!AQ114,(SUM(Model_Mthly!Q115:Q126)/$E$3)*(1-cost_of_sale),-Model_Mthly!V114))</f>
        <v>36072574.782224432</v>
      </c>
      <c r="F114" s="231">
        <f>IF(OR($H$3&lt;=0.0075,$H$3=""),0,SUM(Model_Mthly!AQ114,(SUM(Model_Mthly!Q115:Q126)/$F$3)*(1-cost_of_sale),-Model_Mthly!V114))</f>
        <v>34608131.733183935</v>
      </c>
      <c r="G114" s="231">
        <f>IF(OR($H$3&lt;=0.0075,$H$3=""),0,SUM(Model_Mthly!AQ114,(SUM(Model_Mthly!Q115:Q126)/$G$3)*(1-cost_of_sale),-Model_Mthly!V114))</f>
        <v>33238168.88085572</v>
      </c>
      <c r="H114" s="232">
        <f>IF(OR($H$3&lt;=0.0075,$H$3=""),0,SUM(Model_Mthly!AQ114,(SUM(Model_Mthly!Q115:Q126)/$H$3)*(1-cost_of_sale),-Model_Mthly!V114))</f>
        <v>31953828.706798028</v>
      </c>
      <c r="I114" s="231">
        <f>IF(OR($H$3&lt;=0.0075,$H$3=""),0,SUM(Model_Mthly!AQ114,(SUM(Model_Mthly!Q115:Q126)/$I$3)*(1-cost_of_sale),-Model_Mthly!V114))</f>
        <v>30747327.331168074</v>
      </c>
      <c r="J114" s="231">
        <f>IF(OR($H$3&lt;=0.0075,$H$3=""),0,SUM(Model_Mthly!AQ114,(SUM(Model_Mthly!Q115:Q126)/$J$3)*(1-cost_of_sale),-Model_Mthly!V114))</f>
        <v>29611796.624692824</v>
      </c>
      <c r="K114" s="231">
        <f>IF(OR($H$3&lt;=0.0075,$H$3=""),0,SUM(Model_Mthly!AQ114,(SUM(Model_Mthly!Q115:Q126)/$K$3)*(1-cost_of_sale),-Model_Mthly!V114))</f>
        <v>28541153.387159009</v>
      </c>
      <c r="L114" s="160"/>
      <c r="M114" s="302">
        <f>IF(OR($H$3&lt;=0.0075,$H$3="",down_payment&lt;=0),"N/A",IRR(($D$4:D113,E114),))</f>
        <v>1.74125155501434E-2</v>
      </c>
      <c r="N114" s="288">
        <f>IF(OR($H$3&lt;=0.0075,$H$3="",down_payment&lt;=0),"N/A",IRR(($D$4:D113,F114),))</f>
        <v>1.7151680593247409E-2</v>
      </c>
      <c r="O114" s="288">
        <f>IF(OR($H$3&lt;=0.0075,$H$3="",down_payment&lt;=0),"N/A",IRR(($D$4:D113,G114),))</f>
        <v>1.6900016970250797E-2</v>
      </c>
      <c r="P114" s="303">
        <f>IF(OR($H$3&lt;=0.0075,$H$3="",down_payment&lt;=0),"N/A",IRR(($D$4:D113,H114),))</f>
        <v>1.6656924344361387E-2</v>
      </c>
      <c r="Q114" s="288">
        <f>IF(OR($H$3&lt;=0.0075,$H$3="",down_payment&lt;=0),"N/A",IRR(($D$4:D113,I114),))</f>
        <v>1.6421858709764498E-2</v>
      </c>
      <c r="R114" s="288">
        <f>IF(OR($H$3&lt;=0.0075,$H$3="",down_payment&lt;=0),"N/A",IRR(($D$4:D113,J114),))</f>
        <v>1.6194325592824778E-2</v>
      </c>
      <c r="S114" s="288">
        <f>IF(OR($H$3&lt;=0.0075,$H$3="",down_payment&lt;=0),"N/A",IRR(($D$4:D113,K114),))</f>
        <v>1.5973874246385231E-2</v>
      </c>
      <c r="T114" s="233"/>
      <c r="U114" s="304">
        <f t="shared" si="25"/>
        <v>0.23016936867930582</v>
      </c>
      <c r="V114" s="304">
        <f t="shared" si="26"/>
        <v>0.22639014503566468</v>
      </c>
      <c r="W114" s="304">
        <f t="shared" si="27"/>
        <v>0.22275389519953936</v>
      </c>
      <c r="X114" s="305">
        <f t="shared" si="28"/>
        <v>0.21925087287394063</v>
      </c>
      <c r="Y114" s="304">
        <f t="shared" si="29"/>
        <v>0.21587227245274909</v>
      </c>
      <c r="Z114" s="304">
        <f t="shared" si="30"/>
        <v>0.21261011302988564</v>
      </c>
      <c r="AA114" s="304">
        <f t="shared" si="31"/>
        <v>0.20945713964385027</v>
      </c>
      <c r="AB114" s="103"/>
      <c r="AC114" s="149">
        <f>SUM(Model_Mthly!$Q114,-IF(AND(leveraged_property,B114&lt;=amort_period),-PMT(AC$3/12,amort_period,loan_amount),0))</f>
        <v>160607.64675058858</v>
      </c>
      <c r="AD114" s="149">
        <f>AD113+IF(AND(leveraged_property,$B114&lt;=amort_period),PPMT(AD$3/12,$B114,amort_period,loan_amount),0)</f>
        <v>7856529.7509672903</v>
      </c>
      <c r="AE114" s="149">
        <f ca="1">SUM(AC114,Model_Mthly!$AA114,-AD114)</f>
        <v>32118623.291571837</v>
      </c>
      <c r="AF114" s="149">
        <f>SUM(Model_Mthly!$Q114,-IF(AND(leveraged_property,B114&lt;=amort_period),-PMT(AF$3/12,amort_period,loan_amount),0))</f>
        <v>159166.08953223156</v>
      </c>
      <c r="AG114" s="149">
        <f>AG113+IF(AND(leveraged_property,$B114&lt;=amort_period),PPMT(AG$3/12,$B114,amort_period,loan_amount),0)</f>
        <v>7911260.1397671886</v>
      </c>
      <c r="AH114" s="149">
        <f ca="1">SUM(AF114,Model_Mthly!$AA114,-AG114)</f>
        <v>32062451.345553581</v>
      </c>
      <c r="AI114" s="149">
        <f>SUM(Model_Mthly!$Q114,-IF(AND(leveraged_property,B114&lt;=amort_period),-PMT(AI$3/12,amort_period,loan_amount),0))</f>
        <v>157704.79201490487</v>
      </c>
      <c r="AJ114" s="149">
        <f>AJ113+IF(AND(leveraged_property,$B114&lt;=amort_period),PPMT(AJ$3/12,$B114,amort_period,loan_amount),0)</f>
        <v>7964731.5385221383</v>
      </c>
      <c r="AK114" s="149">
        <f ca="1">SUM(AI114,Model_Mthly!$AA114,-AJ114)</f>
        <v>32007518.649281301</v>
      </c>
      <c r="AL114" s="229">
        <f>SUM(Model_Mthly!$Q114,-IF(AND(leveraged_property,B114&lt;=amort_period),-PMT(AL$3/12,amort_period,loan_amount),0))</f>
        <v>156224.18859041948</v>
      </c>
      <c r="AM114" s="229">
        <f>AM113+IF(AND(leveraged_property,$B114&lt;=amort_period),PPMT(AM$3/12,$B114,amort_period,loan_amount),0)</f>
        <v>8016940.8775809305</v>
      </c>
      <c r="AN114" s="229">
        <f ca="1">SUM(AL114,Model_Mthly!$AA114,-AM114)</f>
        <v>31953828.706798028</v>
      </c>
      <c r="AO114" s="149">
        <f>SUM(Model_Mthly!$Q114,-IF(AND(leveraged_property,B114&lt;=amort_period),-PMT(AO$3/12,amort_period,loan_amount),0))</f>
        <v>154724.72235624728</v>
      </c>
      <c r="AP114" s="162">
        <f>AP113+IF(AND(leveraged_property,$B114&lt;=amort_period),PPMT(AP$3/12,$B114,amort_period,loan_amount),0)</f>
        <v>8067887.077452112</v>
      </c>
      <c r="AQ114" s="149">
        <f ca="1">SUM(AO114,Model_Mthly!$AA114,-AP114)</f>
        <v>31901383.040692668</v>
      </c>
      <c r="AR114" s="149">
        <f>SUM(Model_Mthly!$Q114,-IF(AND(leveraged_property,B114&lt;=amort_period),-PMT(AR$3/12,amort_period,loan_amount),0))</f>
        <v>153206.8438288726</v>
      </c>
      <c r="AS114" s="162">
        <f>AS113+IF(AND(leveraged_property,$B114&lt;=amort_period),PPMT(AS$3/12,$B114,amort_period,loan_amount),0)</f>
        <v>8117570.9868435832</v>
      </c>
      <c r="AT114" s="149">
        <f ca="1">SUM(AR114,Model_Mthly!$AA114,-AS114)</f>
        <v>31850181.252773825</v>
      </c>
      <c r="AU114" s="149">
        <f>SUM(Model_Mthly!$Q114,-IF(AND(leveraged_property,B114&lt;=amort_period),-PMT(AU$3/12,amort_period,loan_amount),0))</f>
        <v>151671.0096778773</v>
      </c>
      <c r="AV114" s="162">
        <f>AV113+IF(AND(leveraged_property,$B114&lt;=amort_period),PPMT(AV$3/12,$B114,amort_period,loan_amount),0)</f>
        <v>8165995.3155095</v>
      </c>
      <c r="AW114" s="149">
        <f ca="1">SUM(AU114,Model_Mthly!$AA114,-AV114)</f>
        <v>31800221.089956917</v>
      </c>
      <c r="AX114" s="103"/>
      <c r="AY114" s="288">
        <f ca="1">IF(AND(leveraged_property,down_payment&gt;0),IRR(($AC$4:AC113,AE114),),"N/A")</f>
        <v>1.6948403499701753E-2</v>
      </c>
      <c r="AZ114" s="288">
        <f ca="1">IF(AND(leveraged_property,down_payment&gt;0),IRR(($AF$4:AF113,AH114),),"N/A")</f>
        <v>1.6852145591785196E-2</v>
      </c>
      <c r="BA114" s="288">
        <f ca="1">IF(AND(leveraged_property,down_payment&gt;0),IRR(($AI$4:AI113,AK114),),"N/A")</f>
        <v>1.6754974779144696E-2</v>
      </c>
      <c r="BB114" s="303">
        <f ca="1">IF(AND(leveraged_property,down_payment&gt;0),IRR(($AL$4:AL113,AN114),),"N/A")</f>
        <v>1.6656924344361387E-2</v>
      </c>
      <c r="BC114" s="288">
        <f ca="1">IF(AND(leveraged_property,down_payment&gt;0),IRR(($AO$4:AO113,AQ114),),"N/A")</f>
        <v>1.6558027751591833E-2</v>
      </c>
      <c r="BD114" s="288">
        <f ca="1">IF(AND(leveraged_property,down_payment&gt;0),IRR(($AR$4:AR113,AT114),),"N/A")</f>
        <v>1.6458318561384591E-2</v>
      </c>
      <c r="BE114" s="288">
        <f ca="1">IF(AND(leveraged_property,down_payment&gt;0),IRR(($AU$4:AU113,AW114),),"N/A")</f>
        <v>1.6357830348213698E-2</v>
      </c>
      <c r="BF114" s="103"/>
      <c r="BG114" s="290">
        <f ca="1">IF(AND(leveraged_property,down_payment&gt;0),((1+AY114)^12)-1,"N/A")</f>
        <v>0.22345225652254874</v>
      </c>
      <c r="BH114" s="290">
        <f ca="1">IF(AND(leveraged_property,down_payment&gt;0),((1+AZ114)^12)-1,"N/A")</f>
        <v>0.22206332865166201</v>
      </c>
      <c r="BI114" s="290">
        <f ca="1">IF(AND(leveraged_property,down_payment&gt;0),((1+BA114)^12)-1,"N/A")</f>
        <v>0.22066269441208286</v>
      </c>
      <c r="BJ114" s="305">
        <f ca="1">IF(AND(leveraged_property,down_payment&gt;0),((1+BB114)^12)-1,"N/A")</f>
        <v>0.21925087287394063</v>
      </c>
      <c r="BK114" s="290">
        <f ca="1">IF(AND(leveraged_property,down_payment&gt;0),((1+BC114)^12)-1,"N/A")</f>
        <v>0.21782838397841453</v>
      </c>
      <c r="BL114" s="290">
        <f ca="1">IF(AND(leveraged_property,down_payment&gt;0),((1+BD114)^12)-1,"N/A")</f>
        <v>0.21639574725897437</v>
      </c>
      <c r="BM114" s="290">
        <f ca="1">IF(AND(leveraged_property,down_payment&gt;0),((1+BE114)^12)-1,"N/A")</f>
        <v>0.21495348061124475</v>
      </c>
    </row>
    <row r="115" spans="1:65">
      <c r="A115" s="137">
        <f>Model_Mthly!A115</f>
        <v>43539</v>
      </c>
      <c r="B115" s="138">
        <f>Model_Mthly!B115</f>
        <v>111</v>
      </c>
      <c r="C115" s="223"/>
      <c r="D115" s="139">
        <f>Model_Mthly!AQ115</f>
        <v>223926.19914928018</v>
      </c>
      <c r="E115" s="231">
        <f>IF(OR($H$3&lt;=0.0075,$H$3=""),0,SUM(Model_Mthly!AQ115,(SUM(Model_Mthly!Q116:Q127)/$E$3)*(1-cost_of_sale),-Model_Mthly!V115))</f>
        <v>36785335.732557364</v>
      </c>
      <c r="F115" s="231">
        <f>IF(OR($H$3&lt;=0.0075,$H$3=""),0,SUM(Model_Mthly!AQ115,(SUM(Model_Mthly!Q116:Q127)/$F$3)*(1-cost_of_sale),-Model_Mthly!V115))</f>
        <v>35299963.906950146</v>
      </c>
      <c r="G115" s="231">
        <f>IF(OR($H$3&lt;=0.0075,$H$3=""),0,SUM(Model_Mthly!AQ115,(SUM(Model_Mthly!Q116:Q127)/$G$3)*(1-cost_of_sale),-Model_Mthly!V115))</f>
        <v>33910422.521704681</v>
      </c>
      <c r="H115" s="232">
        <f>IF(OR($H$3&lt;=0.0075,$H$3=""),0,SUM(Model_Mthly!AQ115,(SUM(Model_Mthly!Q116:Q127)/$H$3)*(1-cost_of_sale),-Model_Mthly!V115))</f>
        <v>32607727.473037053</v>
      </c>
      <c r="I115" s="231">
        <f>IF(OR($H$3&lt;=0.0075,$H$3=""),0,SUM(Model_Mthly!AQ115,(SUM(Model_Mthly!Q116:Q127)/$I$3)*(1-cost_of_sale),-Model_Mthly!V115))</f>
        <v>31383983.639440197</v>
      </c>
      <c r="J115" s="231">
        <f>IF(OR($H$3&lt;=0.0075,$H$3=""),0,SUM(Model_Mthly!AQ115,(SUM(Model_Mthly!Q116:Q127)/$J$3)*(1-cost_of_sale),-Model_Mthly!V115))</f>
        <v>30232224.737231378</v>
      </c>
      <c r="K115" s="231">
        <f>IF(OR($H$3&lt;=0.0075,$H$3=""),0,SUM(Model_Mthly!AQ115,(SUM(Model_Mthly!Q116:Q127)/$K$3)*(1-cost_of_sale),-Model_Mthly!V115))</f>
        <v>29146280.629434507</v>
      </c>
      <c r="L115" s="160"/>
      <c r="M115" s="302">
        <f>IF(OR($H$3&lt;=0.0075,$H$3="",down_payment&lt;=0),"N/A",IRR(($D$4:D114,E115),))</f>
        <v>1.7454133202795669E-2</v>
      </c>
      <c r="N115" s="288">
        <f>IF(OR($H$3&lt;=0.0075,$H$3="",down_payment&lt;=0),"N/A",IRR(($D$4:D114,F115),))</f>
        <v>1.7197020449897377E-2</v>
      </c>
      <c r="O115" s="288">
        <f>IF(OR($H$3&lt;=0.0075,$H$3="",down_payment&lt;=0),"N/A",IRR(($D$4:D114,G115),))</f>
        <v>1.694898443409356E-2</v>
      </c>
      <c r="P115" s="303">
        <f>IF(OR($H$3&lt;=0.0075,$H$3="",down_payment&lt;=0),"N/A",IRR(($D$4:D114,H115),))</f>
        <v>1.6709430839687449E-2</v>
      </c>
      <c r="Q115" s="288">
        <f>IF(OR($H$3&lt;=0.0075,$H$3="",down_payment&lt;=0),"N/A",IRR(($D$4:D114,I115),))</f>
        <v>1.6477821125506244E-2</v>
      </c>
      <c r="R115" s="288">
        <f>IF(OR($H$3&lt;=0.0075,$H$3="",down_payment&lt;=0),"N/A",IRR(($D$4:D114,J115),))</f>
        <v>1.6253665792745949E-2</v>
      </c>
      <c r="S115" s="288">
        <f>IF(OR($H$3&lt;=0.0075,$H$3="",down_payment&lt;=0),"N/A",IRR(($D$4:D114,K115),))</f>
        <v>1.6036518636224642E-2</v>
      </c>
      <c r="T115" s="233"/>
      <c r="U115" s="304">
        <f t="shared" si="25"/>
        <v>0.2307733511997363</v>
      </c>
      <c r="V115" s="304">
        <f t="shared" si="26"/>
        <v>0.22704630661304015</v>
      </c>
      <c r="W115" s="304">
        <f t="shared" si="27"/>
        <v>0.22346064335188864</v>
      </c>
      <c r="X115" s="305">
        <f t="shared" si="28"/>
        <v>0.22000672405569133</v>
      </c>
      <c r="Y115" s="304">
        <f t="shared" si="29"/>
        <v>0.21667584145497232</v>
      </c>
      <c r="Z115" s="304">
        <f t="shared" si="30"/>
        <v>0.2134601036999193</v>
      </c>
      <c r="AA115" s="304">
        <f t="shared" si="31"/>
        <v>0.21035233672653253</v>
      </c>
      <c r="AB115" s="103"/>
      <c r="AC115" s="149">
        <f>SUM(Model_Mthly!$Q115,-IF(AND(leveraged_property,B115&lt;=amort_period),-PMT(AC$3/12,amort_period,loan_amount),0))</f>
        <v>228309.65730944928</v>
      </c>
      <c r="AD115" s="149">
        <f>AD114+IF(AND(leveraged_property,$B115&lt;=amort_period),PPMT(AD$3/12,$B115,amort_period,loan_amount),0)</f>
        <v>7838072.0175970728</v>
      </c>
      <c r="AE115" s="149">
        <f ca="1">SUM(AC115,Model_Mthly!$AA115,-AD115)</f>
        <v>32773784.148408696</v>
      </c>
      <c r="AF115" s="149">
        <f>SUM(Model_Mthly!$Q115,-IF(AND(leveraged_property,B115&lt;=amort_period),-PMT(AF$3/12,amort_period,loan_amount),0))</f>
        <v>226868.10009109229</v>
      </c>
      <c r="AG115" s="149">
        <f>AG114+IF(AND(leveraged_property,$B115&lt;=amort_period),PPMT(AG$3/12,$B115,amort_period,loan_amount),0)</f>
        <v>7893225.6694967318</v>
      </c>
      <c r="AH115" s="149">
        <f ca="1">SUM(AF115,Model_Mthly!$AA115,-AG115)</f>
        <v>32717188.93929068</v>
      </c>
      <c r="AI115" s="149">
        <f>SUM(Model_Mthly!$Q115,-IF(AND(leveraged_property,B115&lt;=amort_period),-PMT(AI$3/12,amort_period,loan_amount),0))</f>
        <v>225406.80257376557</v>
      </c>
      <c r="AJ115" s="149">
        <f>AJ114+IF(AND(leveraged_property,$B115&lt;=amort_period),PPMT(AJ$3/12,$B115,amort_period,loan_amount),0)</f>
        <v>7947117.8872996923</v>
      </c>
      <c r="AK115" s="149">
        <f ca="1">SUM(AI115,Model_Mthly!$AA115,-AJ115)</f>
        <v>32661835.423970386</v>
      </c>
      <c r="AL115" s="229">
        <f>SUM(Model_Mthly!$Q115,-IF(AND(leveraged_property,B115&lt;=amort_period),-PMT(AL$3/12,amort_period,loan_amount),0))</f>
        <v>223926.19914928018</v>
      </c>
      <c r="AM115" s="229">
        <f>AM114+IF(AND(leveraged_property,$B115&lt;=amort_period),PPMT(AM$3/12,$B115,amort_period,loan_amount),0)</f>
        <v>7999745.2348085446</v>
      </c>
      <c r="AN115" s="229">
        <f ca="1">SUM(AL115,Model_Mthly!$AA115,-AM115)</f>
        <v>32607727.473037053</v>
      </c>
      <c r="AO115" s="149">
        <f>SUM(Model_Mthly!$Q115,-IF(AND(leveraged_property,B115&lt;=amort_period),-PMT(AO$3/12,amort_period,loan_amount),0))</f>
        <v>222426.73291510798</v>
      </c>
      <c r="AP115" s="162">
        <f>AP114+IF(AND(leveraged_property,$B115&lt;=amort_period),PPMT(AP$3/12,$B115,amort_period,loan_amount),0)</f>
        <v>8051106.2816694323</v>
      </c>
      <c r="AQ115" s="149">
        <f ca="1">SUM(AO115,Model_Mthly!$AA115,-AP115)</f>
        <v>32554866.959941998</v>
      </c>
      <c r="AR115" s="149">
        <f>SUM(Model_Mthly!$Q115,-IF(AND(leveraged_property,B115&lt;=amort_period),-PMT(AR$3/12,amort_period,loan_amount),0))</f>
        <v>220908.8543877333</v>
      </c>
      <c r="AS115" s="162">
        <f>AS114+IF(AND(leveraged_property,$B115&lt;=amort_period),PPMT(AS$3/12,$B115,amort_period,loan_amount),0)</f>
        <v>8101201.5418882892</v>
      </c>
      <c r="AT115" s="149">
        <f ca="1">SUM(AR115,Model_Mthly!$AA115,-AS115)</f>
        <v>32503253.821195759</v>
      </c>
      <c r="AU115" s="149">
        <f>SUM(Model_Mthly!$Q115,-IF(AND(leveraged_property,B115&lt;=amort_period),-PMT(AU$3/12,amort_period,loan_amount),0))</f>
        <v>219373.02023673803</v>
      </c>
      <c r="AV115" s="162">
        <f>AV114+IF(AND(leveraged_property,$B115&lt;=amort_period),PPMT(AV$3/12,$B115,amort_period,loan_amount),0)</f>
        <v>8150033.4070706051</v>
      </c>
      <c r="AW115" s="149">
        <f ca="1">SUM(AU115,Model_Mthly!$AA115,-AV115)</f>
        <v>32452886.121862449</v>
      </c>
      <c r="AX115" s="103"/>
      <c r="AY115" s="288">
        <f ca="1">IF(AND(leveraged_property,down_payment&gt;0),IRR(($AC$4:AC114,AE115),),"N/A")</f>
        <v>1.6998838988343527E-2</v>
      </c>
      <c r="AZ115" s="288">
        <f ca="1">IF(AND(leveraged_property,down_payment&gt;0),IRR(($AF$4:AF114,AH115),),"N/A")</f>
        <v>1.6903267463930182E-2</v>
      </c>
      <c r="BA115" s="288">
        <f ca="1">IF(AND(leveraged_property,down_payment&gt;0),IRR(($AI$4:AI114,AK115),),"N/A")</f>
        <v>1.6806787016548135E-2</v>
      </c>
      <c r="BB115" s="303">
        <f ca="1">IF(AND(leveraged_property,down_payment&gt;0),IRR(($AL$4:AL114,AN115),),"N/A")</f>
        <v>1.6709430839687449E-2</v>
      </c>
      <c r="BC115" s="288">
        <f ca="1">IF(AND(leveraged_property,down_payment&gt;0),IRR(($AO$4:AO114,AQ115),),"N/A")</f>
        <v>1.6611232309789298E-2</v>
      </c>
      <c r="BD115" s="288">
        <f ca="1">IF(AND(leveraged_property,down_payment&gt;0),IRR(($AR$4:AR114,AT115),),"N/A")</f>
        <v>1.6512224901222859E-2</v>
      </c>
      <c r="BE115" s="288">
        <f ca="1">IF(AND(leveraged_property,down_payment&gt;0),IRR(($AU$4:AU114,AW115),),"N/A")</f>
        <v>1.6412442103966671E-2</v>
      </c>
      <c r="BF115" s="103"/>
      <c r="BG115" s="290">
        <f ca="1">IF(AND(leveraged_property,down_payment&gt;0),((1+AY115)^12)-1,"N/A")</f>
        <v>0.22418057956991388</v>
      </c>
      <c r="BH115" s="290">
        <f ca="1">IF(AND(leveraged_property,down_payment&gt;0),((1+AZ115)^12)-1,"N/A")</f>
        <v>0.2228007980251927</v>
      </c>
      <c r="BI115" s="290">
        <f ca="1">IF(AND(leveraged_property,down_payment&gt;0),((1+BA115)^12)-1,"N/A")</f>
        <v>0.22140934030884041</v>
      </c>
      <c r="BJ115" s="305">
        <f ca="1">IF(AND(leveraged_property,down_payment&gt;0),((1+BB115)^12)-1,"N/A")</f>
        <v>0.22000672405569133</v>
      </c>
      <c r="BK115" s="290">
        <f ca="1">IF(AND(leveraged_property,down_payment&gt;0),((1+BC115)^12)-1,"N/A")</f>
        <v>0.21859346780998146</v>
      </c>
      <c r="BL115" s="290">
        <f ca="1">IF(AND(leveraged_property,down_payment&gt;0),((1+BD115)^12)-1,"N/A")</f>
        <v>0.21717008974841279</v>
      </c>
      <c r="BM115" s="290">
        <f ca="1">IF(AND(leveraged_property,down_payment&gt;0),((1+BE115)^12)-1,"N/A")</f>
        <v>0.21573710645160893</v>
      </c>
    </row>
    <row r="116" spans="1:65">
      <c r="A116" s="137">
        <f>Model_Mthly!A116</f>
        <v>43570</v>
      </c>
      <c r="B116" s="138">
        <f>Model_Mthly!B116</f>
        <v>112</v>
      </c>
      <c r="C116" s="223"/>
      <c r="D116" s="139">
        <f>Model_Mthly!AQ116</f>
        <v>223907.30982782648</v>
      </c>
      <c r="E116" s="231">
        <f>IF(OR($H$3&lt;=0.0075,$H$3=""),0,SUM(Model_Mthly!AQ116,(SUM(Model_Mthly!Q117:Q128)/$E$3)*(1-cost_of_sale),-Model_Mthly!V116))</f>
        <v>37430446.467450902</v>
      </c>
      <c r="F116" s="231">
        <f>IF(OR($H$3&lt;=0.0075,$H$3=""),0,SUM(Model_Mthly!AQ116,(SUM(Model_Mthly!Q117:Q128)/$F$3)*(1-cost_of_sale),-Model_Mthly!V116))</f>
        <v>35924146.136241011</v>
      </c>
      <c r="G116" s="231">
        <f>IF(OR($H$3&lt;=0.0075,$H$3=""),0,SUM(Model_Mthly!AQ116,(SUM(Model_Mthly!Q117:Q128)/$G$3)*(1-cost_of_sale),-Model_Mthly!V116))</f>
        <v>34515026.471560799</v>
      </c>
      <c r="H116" s="232">
        <f>IF(OR($H$3&lt;=0.0075,$H$3=""),0,SUM(Model_Mthly!AQ116,(SUM(Model_Mthly!Q117:Q128)/$H$3)*(1-cost_of_sale),-Model_Mthly!V116))</f>
        <v>33193976.785923097</v>
      </c>
      <c r="I116" s="231">
        <f>IF(OR($H$3&lt;=0.0075,$H$3=""),0,SUM(Model_Mthly!AQ116,(SUM(Model_Mthly!Q117:Q128)/$I$3)*(1-cost_of_sale),-Model_Mthly!V116))</f>
        <v>31952990.717596781</v>
      </c>
      <c r="J116" s="231">
        <f>IF(OR($H$3&lt;=0.0075,$H$3=""),0,SUM(Model_Mthly!AQ116,(SUM(Model_Mthly!Q117:Q128)/$J$3)*(1-cost_of_sale),-Model_Mthly!V116))</f>
        <v>30785003.829760235</v>
      </c>
      <c r="K116" s="231">
        <f>IF(OR($H$3&lt;=0.0075,$H$3=""),0,SUM(Model_Mthly!AQ116,(SUM(Model_Mthly!Q117:Q128)/$K$3)*(1-cost_of_sale),-Model_Mthly!V116))</f>
        <v>29683759.049800064</v>
      </c>
      <c r="L116" s="160"/>
      <c r="M116" s="302">
        <f>IF(OR($H$3&lt;=0.0075,$H$3="",down_payment&lt;=0),"N/A",IRR(($D$4:D115,E116),))</f>
        <v>1.7492480419295329E-2</v>
      </c>
      <c r="N116" s="288">
        <f>IF(OR($H$3&lt;=0.0075,$H$3="",down_payment&lt;=0),"N/A",IRR(($D$4:D115,F116),))</f>
        <v>1.7238991018007216E-2</v>
      </c>
      <c r="O116" s="288">
        <f>IF(OR($H$3&lt;=0.0075,$H$3="",down_payment&lt;=0),"N/A",IRR(($D$4:D115,G116),))</f>
        <v>1.6994485174960362E-2</v>
      </c>
      <c r="P116" s="303">
        <f>IF(OR($H$3&lt;=0.0075,$H$3="",down_payment&lt;=0),"N/A",IRR(($D$4:D115,H116),))</f>
        <v>1.6758374490268024E-2</v>
      </c>
      <c r="Q116" s="288">
        <f>IF(OR($H$3&lt;=0.0075,$H$3="",down_payment&lt;=0),"N/A",IRR(($D$4:D115,I116),))</f>
        <v>1.6530125791844333E-2</v>
      </c>
      <c r="R116" s="288">
        <f>IF(OR($H$3&lt;=0.0075,$H$3="",down_payment&lt;=0),"N/A",IRR(($D$4:D115,J116),))</f>
        <v>1.6309254468721994E-2</v>
      </c>
      <c r="S116" s="288">
        <f>IF(OR($H$3&lt;=0.0075,$H$3="",down_payment&lt;=0),"N/A",IRR(($D$4:D115,K116),))</f>
        <v>1.6095318778261737E-2</v>
      </c>
      <c r="T116" s="233"/>
      <c r="U116" s="304">
        <f t="shared" si="25"/>
        <v>0.23133011163150363</v>
      </c>
      <c r="V116" s="304">
        <f t="shared" si="26"/>
        <v>0.22765399442530709</v>
      </c>
      <c r="W116" s="304">
        <f t="shared" si="27"/>
        <v>0.22411769184859631</v>
      </c>
      <c r="X116" s="305">
        <f t="shared" si="28"/>
        <v>0.22071167349115295</v>
      </c>
      <c r="Y116" s="304">
        <f t="shared" si="29"/>
        <v>0.21742732863131997</v>
      </c>
      <c r="Z116" s="304">
        <f t="shared" si="30"/>
        <v>0.21425685285894081</v>
      </c>
      <c r="AA116" s="304">
        <f t="shared" si="31"/>
        <v>0.21119315154192297</v>
      </c>
      <c r="AB116" s="103"/>
      <c r="AC116" s="149">
        <f>SUM(Model_Mthly!$Q116,-IF(AND(leveraged_property,B116&lt;=amort_period),-PMT(AC$3/12,amort_period,loan_amount),0))</f>
        <v>228290.76798799558</v>
      </c>
      <c r="AD116" s="149">
        <f>AD115+IF(AND(leveraged_property,$B116&lt;=amort_period),PPMT(AD$3/12,$B116,amort_period,loan_amount),0)</f>
        <v>7819541.2223655982</v>
      </c>
      <c r="AE116" s="149">
        <f ca="1">SUM(AC116,Model_Mthly!$AA116,-AD116)</f>
        <v>33361289.800391119</v>
      </c>
      <c r="AF116" s="149">
        <f>SUM(Model_Mthly!$Q116,-IF(AND(leveraged_property,B116&lt;=amort_period),-PMT(AF$3/12,amort_period,loan_amount),0))</f>
        <v>226849.21076963859</v>
      </c>
      <c r="AG116" s="149">
        <f>AG115+IF(AND(leveraged_property,$B116&lt;=amort_period),PPMT(AG$3/12,$B116,amort_period,loan_amount),0)</f>
        <v>7875116.0556001486</v>
      </c>
      <c r="AH116" s="149">
        <f ca="1">SUM(AF116,Model_Mthly!$AA116,-AG116)</f>
        <v>33304273.409938212</v>
      </c>
      <c r="AI116" s="149">
        <f>SUM(Model_Mthly!$Q116,-IF(AND(leveraged_property,B116&lt;=amort_period),-PMT(AI$3/12,amort_period,loan_amount),0))</f>
        <v>225387.91325231188</v>
      </c>
      <c r="AJ116" s="149">
        <f>AJ115+IF(AND(leveraged_property,$B116&lt;=amort_period),PPMT(AJ$3/12,$B116,amort_period,loan_amount),0)</f>
        <v>7929427.1763531482</v>
      </c>
      <c r="AK116" s="149">
        <f ca="1">SUM(AI116,Model_Mthly!$AA116,-AJ116)</f>
        <v>33248500.991667882</v>
      </c>
      <c r="AL116" s="229">
        <f>SUM(Model_Mthly!$Q116,-IF(AND(leveraged_property,B116&lt;=amort_period),-PMT(AL$3/12,amort_period,loan_amount),0))</f>
        <v>223907.30982782648</v>
      </c>
      <c r="AM116" s="229">
        <f>AM115+IF(AND(leveraged_property,$B116&lt;=amort_period),PPMT(AM$3/12,$B116,amort_period,loan_amount),0)</f>
        <v>7982470.7786734523</v>
      </c>
      <c r="AN116" s="229">
        <f ca="1">SUM(AL116,Model_Mthly!$AA116,-AM116)</f>
        <v>33193976.785923097</v>
      </c>
      <c r="AO116" s="149">
        <f>SUM(Model_Mthly!$Q116,-IF(AND(leveraged_property,B116&lt;=amort_period),-PMT(AO$3/12,amort_period,loan_amount),0))</f>
        <v>222407.84359365428</v>
      </c>
      <c r="AP116" s="162">
        <f>AP115+IF(AND(leveraged_property,$B116&lt;=amort_period),PPMT(AP$3/12,$B116,amort_period,loan_amount),0)</f>
        <v>8034245.0779069606</v>
      </c>
      <c r="AQ116" s="149">
        <f ca="1">SUM(AO116,Model_Mthly!$AA116,-AP116)</f>
        <v>33140703.02045542</v>
      </c>
      <c r="AR116" s="149">
        <f>SUM(Model_Mthly!$Q116,-IF(AND(leveraged_property,B116&lt;=amort_period),-PMT(AR$3/12,amort_period,loan_amount),0))</f>
        <v>220889.9650662796</v>
      </c>
      <c r="AS116" s="162">
        <f>AS115+IF(AND(leveraged_property,$B116&lt;=amort_period),PPMT(AS$3/12,$B116,amort_period,loan_amount),0)</f>
        <v>8084750.2497082185</v>
      </c>
      <c r="AT116" s="149">
        <f ca="1">SUM(AR116,Model_Mthly!$AA116,-AS116)</f>
        <v>33088679.970126778</v>
      </c>
      <c r="AU116" s="149">
        <f>SUM(Model_Mthly!$Q116,-IF(AND(leveraged_property,B116&lt;=amort_period),-PMT(AU$3/12,amort_period,loan_amount),0))</f>
        <v>219354.13091528433</v>
      </c>
      <c r="AV116" s="162">
        <f>AV115+IF(AND(leveraged_property,$B116&lt;=amort_period),PPMT(AV$3/12,$B116,amort_period,loan_amount),0)</f>
        <v>8133988.3636919241</v>
      </c>
      <c r="AW116" s="149">
        <f ca="1">SUM(AU116,Model_Mthly!$AA116,-AV116)</f>
        <v>33037906.02199208</v>
      </c>
      <c r="AX116" s="103"/>
      <c r="AY116" s="288">
        <f ca="1">IF(AND(leveraged_property,down_payment&gt;0),IRR(($AC$4:AC115,AE116),),"N/A")</f>
        <v>1.7045781971184167E-2</v>
      </c>
      <c r="AZ116" s="288">
        <f ca="1">IF(AND(leveraged_property,down_payment&gt;0),IRR(($AF$4:AF115,AH116),),"N/A")</f>
        <v>1.6950873497581058E-2</v>
      </c>
      <c r="BA116" s="288">
        <f ca="1">IF(AND(leveraged_property,down_payment&gt;0),IRR(($AI$4:AI115,AK116),),"N/A")</f>
        <v>1.6855059967985551E-2</v>
      </c>
      <c r="BB116" s="303">
        <f ca="1">IF(AND(leveraged_property,down_payment&gt;0),IRR(($AL$4:AL115,AN116),),"N/A")</f>
        <v>1.6758374490268024E-2</v>
      </c>
      <c r="BC116" s="288">
        <f ca="1">IF(AND(leveraged_property,down_payment&gt;0),IRR(($AO$4:AO115,AQ116),),"N/A")</f>
        <v>1.6660850356566243E-2</v>
      </c>
      <c r="BD116" s="288">
        <f ca="1">IF(AND(leveraged_property,down_payment&gt;0),IRR(($AR$4:AR115,AT116),),"N/A")</f>
        <v>1.6562520958416357E-2</v>
      </c>
      <c r="BE116" s="288">
        <f ca="1">IF(AND(leveraged_property,down_payment&gt;0),IRR(($AU$4:AU115,AW116),),"N/A")</f>
        <v>1.6463419704576692E-2</v>
      </c>
      <c r="BF116" s="103"/>
      <c r="BG116" s="290">
        <f ca="1">IF(AND(leveraged_property,down_payment&gt;0),((1+AY116)^12)-1,"N/A")</f>
        <v>0.22485882552774283</v>
      </c>
      <c r="BH116" s="290">
        <f ca="1">IF(AND(leveraged_property,down_payment&gt;0),((1+AZ116)^12)-1,"N/A")</f>
        <v>0.22348791573401772</v>
      </c>
      <c r="BI116" s="290">
        <f ca="1">IF(AND(leveraged_property,down_payment&gt;0),((1+BA116)^12)-1,"N/A")</f>
        <v>0.22210535964039857</v>
      </c>
      <c r="BJ116" s="305">
        <f ca="1">IF(AND(leveraged_property,down_payment&gt;0),((1+BB116)^12)-1,"N/A")</f>
        <v>0.22071167349115295</v>
      </c>
      <c r="BK116" s="290">
        <f ca="1">IF(AND(leveraged_property,down_payment&gt;0),((1+BC116)^12)-1,"N/A")</f>
        <v>0.21930737447674242</v>
      </c>
      <c r="BL116" s="290">
        <f ca="1">IF(AND(leveraged_property,down_payment&gt;0),((1+BD116)^12)-1,"N/A")</f>
        <v>0.21789297945864261</v>
      </c>
      <c r="BM116" s="290">
        <f ca="1">IF(AND(leveraged_property,down_payment&gt;0),((1+BE116)^12)-1,"N/A")</f>
        <v>0.21646900374233713</v>
      </c>
    </row>
    <row r="117" spans="1:65">
      <c r="A117" s="137">
        <f>Model_Mthly!A117</f>
        <v>43600</v>
      </c>
      <c r="B117" s="138">
        <f>Model_Mthly!B117</f>
        <v>113</v>
      </c>
      <c r="C117" s="223"/>
      <c r="D117" s="139">
        <f>Model_Mthly!AQ117</f>
        <v>217502.40667192978</v>
      </c>
      <c r="E117" s="231">
        <f>IF(OR($H$3&lt;=0.0075,$H$3=""),0,SUM(Model_Mthly!AQ117,(SUM(Model_Mthly!Q118:Q129)/$E$3)*(1-cost_of_sale),-Model_Mthly!V117))</f>
        <v>38065857.973015286</v>
      </c>
      <c r="F117" s="231">
        <f>IF(OR($H$3&lt;=0.0075,$H$3=""),0,SUM(Model_Mthly!AQ117,(SUM(Model_Mthly!Q118:Q129)/$F$3)*(1-cost_of_sale),-Model_Mthly!V117))</f>
        <v>36538742.215872243</v>
      </c>
      <c r="G117" s="231">
        <f>IF(OR($H$3&lt;=0.0075,$H$3=""),0,SUM(Model_Mthly!AQ117,(SUM(Model_Mthly!Q118:Q129)/$G$3)*(1-cost_of_sale),-Model_Mthly!V117))</f>
        <v>35110150.055964246</v>
      </c>
      <c r="H117" s="232">
        <f>IF(OR($H$3&lt;=0.0075,$H$3=""),0,SUM(Model_Mthly!AQ117,(SUM(Model_Mthly!Q118:Q129)/$H$3)*(1-cost_of_sale),-Model_Mthly!V117))</f>
        <v>33770844.906050488</v>
      </c>
      <c r="I117" s="231">
        <f>IF(OR($H$3&lt;=0.0075,$H$3=""),0,SUM(Model_Mthly!AQ117,(SUM(Model_Mthly!Q118:Q129)/$I$3)*(1-cost_of_sale),-Model_Mthly!V117))</f>
        <v>32512709.765222419</v>
      </c>
      <c r="J117" s="231">
        <f>IF(OR($H$3&lt;=0.0075,$H$3=""),0,SUM(Model_Mthly!AQ117,(SUM(Model_Mthly!Q118:Q129)/$J$3)*(1-cost_of_sale),-Model_Mthly!V117))</f>
        <v>31328582.57385483</v>
      </c>
      <c r="K117" s="231">
        <f>IF(OR($H$3&lt;=0.0075,$H$3=""),0,SUM(Model_Mthly!AQ117,(SUM(Model_Mthly!Q118:Q129)/$K$3)*(1-cost_of_sale),-Model_Mthly!V117))</f>
        <v>30212119.793422516</v>
      </c>
      <c r="L117" s="160"/>
      <c r="M117" s="302">
        <f>IF(OR($H$3&lt;=0.0075,$H$3="",down_payment&lt;=0),"N/A",IRR(($D$4:D116,E117),))</f>
        <v>1.7526156483304047E-2</v>
      </c>
      <c r="N117" s="288">
        <f>IF(OR($H$3&lt;=0.0075,$H$3="",down_payment&lt;=0),"N/A",IRR(($D$4:D116,F117),))</f>
        <v>1.7276165089159742E-2</v>
      </c>
      <c r="O117" s="288">
        <f>IF(OR($H$3&lt;=0.0075,$H$3="",down_payment&lt;=0),"N/A",IRR(($D$4:D116,G117),))</f>
        <v>1.7035065558301421E-2</v>
      </c>
      <c r="P117" s="303">
        <f>IF(OR($H$3&lt;=0.0075,$H$3="",down_payment&lt;=0),"N/A",IRR(($D$4:D116,H117),))</f>
        <v>1.6802275302812798E-2</v>
      </c>
      <c r="Q117" s="288">
        <f>IF(OR($H$3&lt;=0.0075,$H$3="",down_payment&lt;=0),"N/A",IRR(($D$4:D116,I117),))</f>
        <v>1.657726642534945E-2</v>
      </c>
      <c r="R117" s="288">
        <f>IF(OR($H$3&lt;=0.0075,$H$3="",down_payment&lt;=0),"N/A",IRR(($D$4:D116,J117),))</f>
        <v>1.635955911679161E-2</v>
      </c>
      <c r="S117" s="288">
        <f>IF(OR($H$3&lt;=0.0075,$H$3="",down_payment&lt;=0),"N/A",IRR(($D$4:D116,K117),))</f>
        <v>1.6148716018437658E-2</v>
      </c>
      <c r="T117" s="233"/>
      <c r="U117" s="304">
        <f t="shared" si="25"/>
        <v>0.23181924233165585</v>
      </c>
      <c r="V117" s="304">
        <f t="shared" si="26"/>
        <v>0.2281924645917055</v>
      </c>
      <c r="W117" s="304">
        <f t="shared" si="27"/>
        <v>0.22470396132239956</v>
      </c>
      <c r="X117" s="305">
        <f t="shared" si="28"/>
        <v>0.2213443071298411</v>
      </c>
      <c r="Y117" s="304">
        <f t="shared" si="29"/>
        <v>0.21810498609537077</v>
      </c>
      <c r="Z117" s="304">
        <f t="shared" si="30"/>
        <v>0.21497827966906891</v>
      </c>
      <c r="AA117" s="304">
        <f t="shared" si="31"/>
        <v>0.21195717121649071</v>
      </c>
      <c r="AB117" s="103"/>
      <c r="AC117" s="149">
        <f>SUM(Model_Mthly!$Q117,-IF(AND(leveraged_property,B117&lt;=amort_period),-PMT(AC$3/12,amort_period,loan_amount),0))</f>
        <v>221885.86483209889</v>
      </c>
      <c r="AD117" s="149">
        <f>AD116+IF(AND(leveraged_property,$B117&lt;=amort_period),PPMT(AD$3/12,$B117,amort_period,loan_amount),0)</f>
        <v>7800937.0760696661</v>
      </c>
      <c r="AE117" s="149">
        <f ca="1">SUM(AC117,Model_Mthly!$AA117,-AD117)</f>
        <v>33939408.436088733</v>
      </c>
      <c r="AF117" s="149">
        <f>SUM(Model_Mthly!$Q117,-IF(AND(leveraged_property,B117&lt;=amort_period),-PMT(AF$3/12,amort_period,loan_amount),0))</f>
        <v>220444.3076137419</v>
      </c>
      <c r="AG117" s="149">
        <f>AG116+IF(AND(leveraged_property,$B117&lt;=amort_period),PPMT(AG$3/12,$B117,amort_period,loan_amount),0)</f>
        <v>7856930.9849789962</v>
      </c>
      <c r="AH117" s="149">
        <f ca="1">SUM(AF117,Model_Mthly!$AA117,-AG117)</f>
        <v>33881972.969961055</v>
      </c>
      <c r="AI117" s="149">
        <f>SUM(Model_Mthly!$Q117,-IF(AND(leveraged_property,B117&lt;=amort_period),-PMT(AI$3/12,amort_period,loan_amount),0))</f>
        <v>218983.01009641518</v>
      </c>
      <c r="AJ117" s="149">
        <f>AJ116+IF(AND(leveraged_property,$B117&lt;=amort_period),PPMT(AJ$3/12,$B117,amort_period,loan_amount),0)</f>
        <v>7911659.0685462132</v>
      </c>
      <c r="AK117" s="149">
        <f ca="1">SUM(AI117,Model_Mthly!$AA117,-AJ117)</f>
        <v>33825783.588876508</v>
      </c>
      <c r="AL117" s="229">
        <f>SUM(Model_Mthly!$Q117,-IF(AND(leveraged_property,B117&lt;=amort_period),-PMT(AL$3/12,amort_period,loan_amount),0))</f>
        <v>217502.40667192978</v>
      </c>
      <c r="AM117" s="229">
        <f>AM116+IF(AND(leveraged_property,$B117&lt;=amort_period),PPMT(AM$3/12,$B117,amort_period,loan_amount),0)</f>
        <v>7965117.1479477407</v>
      </c>
      <c r="AN117" s="229">
        <f ca="1">SUM(AL117,Model_Mthly!$AA117,-AM117)</f>
        <v>33770844.906050488</v>
      </c>
      <c r="AO117" s="149">
        <f>SUM(Model_Mthly!$Q117,-IF(AND(leveraged_property,B117&lt;=amort_period),-PMT(AO$3/12,amort_period,loan_amount),0))</f>
        <v>216002.94043775758</v>
      </c>
      <c r="AP117" s="162">
        <f>AP116+IF(AND(leveraged_property,$B117&lt;=amort_period),PPMT(AP$3/12,$B117,amort_period,loan_amount),0)</f>
        <v>8017303.0808764603</v>
      </c>
      <c r="AQ117" s="149">
        <f ca="1">SUM(AO117,Model_Mthly!$AA117,-AP117)</f>
        <v>33717159.5068876</v>
      </c>
      <c r="AR117" s="149">
        <f>SUM(Model_Mthly!$Q117,-IF(AND(leveraged_property,B117&lt;=amort_period),-PMT(AR$3/12,amort_period,loan_amount),0))</f>
        <v>214485.06191038291</v>
      </c>
      <c r="AS117" s="162">
        <f>AS116+IF(AND(leveraged_property,$B117&lt;=amort_period),PPMT(AS$3/12,$B117,amort_period,loan_amount),0)</f>
        <v>8068216.7010672474</v>
      </c>
      <c r="AT117" s="149">
        <f ca="1">SUM(AR117,Model_Mthly!$AA117,-AS117)</f>
        <v>33664728.008169442</v>
      </c>
      <c r="AU117" s="149">
        <f>SUM(Model_Mthly!$Q117,-IF(AND(leveraged_property,B117&lt;=amort_period),-PMT(AU$3/12,amort_period,loan_amount),0))</f>
        <v>212949.22775938764</v>
      </c>
      <c r="AV117" s="162">
        <f>AV116+IF(AND(leveraged_property,$B117&lt;=amort_period),PPMT(AV$3/12,$B117,amort_period,loan_amount),0)</f>
        <v>8117859.7523789788</v>
      </c>
      <c r="AW117" s="149">
        <f ca="1">SUM(AU117,Model_Mthly!$AA117,-AV117)</f>
        <v>33613549.122706719</v>
      </c>
      <c r="AX117" s="103"/>
      <c r="AY117" s="288">
        <f ca="1">IF(AND(leveraged_property,down_payment&gt;0),IRR(($AC$4:AC116,AE117),),"N/A")</f>
        <v>1.7087777577467773E-2</v>
      </c>
      <c r="AZ117" s="288">
        <f ca="1">IF(AND(leveraged_property,down_payment&gt;0),IRR(($AF$4:AF116,AH117),),"N/A")</f>
        <v>1.6993500540788246E-2</v>
      </c>
      <c r="BA117" s="288">
        <f ca="1">IF(AND(leveraged_property,down_payment&gt;0),IRR(($AI$4:AI116,AK117),),"N/A")</f>
        <v>1.6898322106520147E-2</v>
      </c>
      <c r="BB117" s="303">
        <f ca="1">IF(AND(leveraged_property,down_payment&gt;0),IRR(($AL$4:AL116,AN117),),"N/A")</f>
        <v>1.6802275302812798E-2</v>
      </c>
      <c r="BC117" s="288">
        <f ca="1">IF(AND(leveraged_property,down_payment&gt;0),IRR(($AO$4:AO116,AQ117),),"N/A")</f>
        <v>1.6705393343380788E-2</v>
      </c>
      <c r="BD117" s="288">
        <f ca="1">IF(AND(leveraged_property,down_payment&gt;0),IRR(($AR$4:AR116,AT117),),"N/A")</f>
        <v>1.6607709542773606E-2</v>
      </c>
      <c r="BE117" s="288">
        <f ca="1">IF(AND(leveraged_property,down_payment&gt;0),IRR(($AU$4:AU116,AW117),),"N/A")</f>
        <v>1.650925723432925E-2</v>
      </c>
      <c r="BF117" s="103"/>
      <c r="BG117" s="290">
        <f ca="1">IF(AND(leveraged_property,down_payment&gt;0),((1+AY117)^12)-1,"N/A")</f>
        <v>0.22546588224211184</v>
      </c>
      <c r="BH117" s="290">
        <f ca="1">IF(AND(leveraged_property,down_payment&gt;0),((1+AZ117)^12)-1,"N/A")</f>
        <v>0.22410346992260388</v>
      </c>
      <c r="BI117" s="290">
        <f ca="1">IF(AND(leveraged_property,down_payment&gt;0),((1+BA117)^12)-1,"N/A")</f>
        <v>0.22272943990761274</v>
      </c>
      <c r="BJ117" s="305">
        <f ca="1">IF(AND(leveraged_property,down_payment&gt;0),((1+BB117)^12)-1,"N/A")</f>
        <v>0.2213443071298411</v>
      </c>
      <c r="BK117" s="290">
        <f ca="1">IF(AND(leveraged_property,down_payment&gt;0),((1+BC117)^12)-1,"N/A")</f>
        <v>0.21994858750368107</v>
      </c>
      <c r="BL117" s="290">
        <f ca="1">IF(AND(leveraged_property,down_payment&gt;0),((1+BD117)^12)-1,"N/A")</f>
        <v>0.21854279665164911</v>
      </c>
      <c r="BM117" s="290">
        <f ca="1">IF(AND(leveraged_property,down_payment&gt;0),((1+BE117)^12)-1,"N/A")</f>
        <v>0.21712744867879286</v>
      </c>
    </row>
    <row r="118" spans="1:65">
      <c r="A118" s="137">
        <f>Model_Mthly!A118</f>
        <v>43631</v>
      </c>
      <c r="B118" s="138">
        <f>Model_Mthly!B118</f>
        <v>114</v>
      </c>
      <c r="C118" s="223"/>
      <c r="D118" s="139">
        <f>Model_Mthly!AQ118</f>
        <v>208588.75762243351</v>
      </c>
      <c r="E118" s="231">
        <f>IF(OR($H$3&lt;=0.0075,$H$3=""),0,SUM(Model_Mthly!AQ118,(SUM(Model_Mthly!Q119:Q130)/$E$3)*(1-cost_of_sale),-Model_Mthly!V118))</f>
        <v>38696654.594339035</v>
      </c>
      <c r="F118" s="231">
        <f>IF(OR($H$3&lt;=0.0075,$H$3=""),0,SUM(Model_Mthly!AQ118,(SUM(Model_Mthly!Q119:Q130)/$F$3)*(1-cost_of_sale),-Model_Mthly!V118))</f>
        <v>37148796.267123558</v>
      </c>
      <c r="G118" s="231">
        <f>IF(OR($H$3&lt;=0.0075,$H$3=""),0,SUM(Model_Mthly!AQ118,(SUM(Model_Mthly!Q119:Q130)/$G$3)*(1-cost_of_sale),-Model_Mthly!V118))</f>
        <v>35700799.76747036</v>
      </c>
      <c r="H118" s="232">
        <f>IF(OR($H$3&lt;=0.0075,$H$3=""),0,SUM(Model_Mthly!AQ118,(SUM(Model_Mthly!Q119:Q130)/$H$3)*(1-cost_of_sale),-Model_Mthly!V118))</f>
        <v>34343303.049045496</v>
      </c>
      <c r="I118" s="231">
        <f>IF(OR($H$3&lt;=0.0075,$H$3=""),0,SUM(Model_Mthly!AQ118,(SUM(Model_Mthly!Q119:Q130)/$I$3)*(1-cost_of_sale),-Model_Mthly!V118))</f>
        <v>33068078.859010011</v>
      </c>
      <c r="J118" s="231">
        <f>IF(OR($H$3&lt;=0.0075,$H$3=""),0,SUM(Model_Mthly!AQ118,(SUM(Model_Mthly!Q119:Q130)/$J$3)*(1-cost_of_sale),-Model_Mthly!V118))</f>
        <v>31867867.856623672</v>
      </c>
      <c r="K118" s="231">
        <f>IF(OR($H$3&lt;=0.0075,$H$3=""),0,SUM(Model_Mthly!AQ118,(SUM(Model_Mthly!Q119:Q130)/$K$3)*(1-cost_of_sale),-Model_Mthly!V118))</f>
        <v>30736240.34008798</v>
      </c>
      <c r="L118" s="160"/>
      <c r="M118" s="302">
        <f>IF(OR($H$3&lt;=0.0075,$H$3="",down_payment&lt;=0),"N/A",IRR(($D$4:D117,E118),))</f>
        <v>1.7555229884237834E-2</v>
      </c>
      <c r="N118" s="288">
        <f>IF(OR($H$3&lt;=0.0075,$H$3="",down_payment&lt;=0),"N/A",IRR(($D$4:D117,F118),))</f>
        <v>1.7308605086450241E-2</v>
      </c>
      <c r="O118" s="288">
        <f>IF(OR($H$3&lt;=0.0075,$H$3="",down_payment&lt;=0),"N/A",IRR(($D$4:D117,G118),))</f>
        <v>1.7070782014316086E-2</v>
      </c>
      <c r="P118" s="303">
        <f>IF(OR($H$3&lt;=0.0075,$H$3="",down_payment&lt;=0),"N/A",IRR(($D$4:D117,H118),))</f>
        <v>1.6841183788254974E-2</v>
      </c>
      <c r="Q118" s="288">
        <f>IF(OR($H$3&lt;=0.0075,$H$3="",down_payment&lt;=0),"N/A",IRR(($D$4:D117,I118),))</f>
        <v>1.6619287691443663E-2</v>
      </c>
      <c r="R118" s="288">
        <f>IF(OR($H$3&lt;=0.0075,$H$3="",down_payment&lt;=0),"N/A",IRR(($D$4:D117,J118),))</f>
        <v>1.6404618630685378E-2</v>
      </c>
      <c r="S118" s="288">
        <f>IF(OR($H$3&lt;=0.0075,$H$3="",down_payment&lt;=0),"N/A",IRR(($D$4:D117,K118),))</f>
        <v>1.6196743552625653E-2</v>
      </c>
      <c r="T118" s="233"/>
      <c r="U118" s="304">
        <f t="shared" si="25"/>
        <v>0.23224166453326545</v>
      </c>
      <c r="V118" s="304">
        <f t="shared" si="26"/>
        <v>0.22866253811137316</v>
      </c>
      <c r="W118" s="304">
        <f t="shared" si="27"/>
        <v>0.22522017402453343</v>
      </c>
      <c r="X118" s="305">
        <f t="shared" si="28"/>
        <v>0.22190524993073679</v>
      </c>
      <c r="Y118" s="304">
        <f t="shared" si="29"/>
        <v>0.21870934294055866</v>
      </c>
      <c r="Z118" s="304">
        <f t="shared" si="30"/>
        <v>0.21562481875737705</v>
      </c>
      <c r="AA118" s="304">
        <f t="shared" si="31"/>
        <v>0.21264473728398658</v>
      </c>
      <c r="AB118" s="103"/>
      <c r="AC118" s="149">
        <f>SUM(Model_Mthly!$Q118,-IF(AND(leveraged_property,B118&lt;=amort_period),-PMT(AC$3/12,amort_period,loan_amount),0))</f>
        <v>212972.21578260261</v>
      </c>
      <c r="AD118" s="149">
        <f>AD117+IF(AND(leveraged_property,$B118&lt;=amort_period),PPMT(AD$3/12,$B118,amort_period,loan_amount),0)</f>
        <v>7782259.2883613128</v>
      </c>
      <c r="AE118" s="149">
        <f ca="1">SUM(AC118,Model_Mthly!$AA118,-AD118)</f>
        <v>34513111.198592223</v>
      </c>
      <c r="AF118" s="149">
        <f>SUM(Model_Mthly!$Q118,-IF(AND(leveraged_property,B118&lt;=amort_period),-PMT(AF$3/12,amort_period,loan_amount),0))</f>
        <v>211530.65856424562</v>
      </c>
      <c r="AG118" s="149">
        <f>AG117+IF(AND(leveraged_property,$B118&lt;=amort_period),PPMT(AG$3/12,$B118,amort_period,loan_amount),0)</f>
        <v>7838670.1432302557</v>
      </c>
      <c r="AH118" s="149">
        <f ca="1">SUM(AF118,Model_Mthly!$AA118,-AG118)</f>
        <v>34455258.786504924</v>
      </c>
      <c r="AI118" s="149">
        <f>SUM(Model_Mthly!$Q118,-IF(AND(leveraged_property,B118&lt;=amort_period),-PMT(AI$3/12,amort_period,loan_amount),0))</f>
        <v>210069.3610469189</v>
      </c>
      <c r="AJ118" s="149">
        <f>AJ117+IF(AND(leveraged_property,$B118&lt;=amort_period),PPMT(AJ$3/12,$B118,amort_period,loan_amount),0)</f>
        <v>7893813.2252676226</v>
      </c>
      <c r="AK118" s="149">
        <f ca="1">SUM(AI118,Model_Mthly!$AA118,-AJ118)</f>
        <v>34398654.40695022</v>
      </c>
      <c r="AL118" s="229">
        <f>SUM(Model_Mthly!$Q118,-IF(AND(leveraged_property,B118&lt;=amort_period),-PMT(AL$3/12,amort_period,loan_amount),0))</f>
        <v>208588.75762243351</v>
      </c>
      <c r="AM118" s="229">
        <f>AM117+IF(AND(leveraged_property,$B118&lt;=amort_period),PPMT(AM$3/12,$B118,amort_period,loan_amount),0)</f>
        <v>7947683.9797478691</v>
      </c>
      <c r="AN118" s="229">
        <f ca="1">SUM(AL118,Model_Mthly!$AA118,-AM118)</f>
        <v>34343303.049045496</v>
      </c>
      <c r="AO118" s="149">
        <f>SUM(Model_Mthly!$Q118,-IF(AND(leveraged_property,B118&lt;=amort_period),-PMT(AO$3/12,amort_period,loan_amount),0))</f>
        <v>207089.29138826131</v>
      </c>
      <c r="AP118" s="162">
        <f>AP117+IF(AND(leveraged_property,$B118&lt;=amort_period),PPMT(AP$3/12,$B118,amort_period,loan_amount),0)</f>
        <v>8000279.9034435228</v>
      </c>
      <c r="AQ118" s="149">
        <f ca="1">SUM(AO118,Model_Mthly!$AA118,-AP118)</f>
        <v>34289207.659115665</v>
      </c>
      <c r="AR118" s="149">
        <f>SUM(Model_Mthly!$Q118,-IF(AND(leveraged_property,B118&lt;=amort_period),-PMT(AR$3/12,amort_period,loan_amount),0))</f>
        <v>205571.41286088663</v>
      </c>
      <c r="AS118" s="162">
        <f>AS117+IF(AND(leveraged_property,$B118&lt;=amort_period),PPMT(AS$3/12,$B118,amort_period,loan_amount),0)</f>
        <v>8051600.4846830722</v>
      </c>
      <c r="AT118" s="149">
        <f ca="1">SUM(AR118,Model_Mthly!$AA118,-AS118)</f>
        <v>34236369.19934874</v>
      </c>
      <c r="AU118" s="149">
        <f>SUM(Model_Mthly!$Q118,-IF(AND(leveraged_property,B118&lt;=amort_period),-PMT(AU$3/12,amort_period,loan_amount),0))</f>
        <v>204035.57870989136</v>
      </c>
      <c r="AV118" s="162">
        <f>AV117+IF(AND(leveraged_property,$B118&lt;=amort_period),PPMT(AV$3/12,$B118,amort_period,loan_amount),0)</f>
        <v>8101647.1378821116</v>
      </c>
      <c r="AW118" s="149">
        <f ca="1">SUM(AU118,Model_Mthly!$AA118,-AV118)</f>
        <v>34184786.711998709</v>
      </c>
      <c r="AX118" s="103"/>
      <c r="AY118" s="288">
        <f ca="1">IF(AND(leveraged_property,down_payment&gt;0),IRR(($AC$4:AC117,AE118),),"N/A")</f>
        <v>1.7124874988218471E-2</v>
      </c>
      <c r="AZ118" s="288">
        <f ca="1">IF(AND(leveraged_property,down_payment&gt;0),IRR(($AF$4:AF117,AH118),),"N/A")</f>
        <v>1.7031198218559106E-2</v>
      </c>
      <c r="BA118" s="288">
        <f ca="1">IF(AND(leveraged_property,down_payment&gt;0),IRR(($AI$4:AI117,AK118),),"N/A")</f>
        <v>1.6936623500428447E-2</v>
      </c>
      <c r="BB118" s="303">
        <f ca="1">IF(AND(leveraged_property,down_payment&gt;0),IRR(($AL$4:AL117,AN118),),"N/A")</f>
        <v>1.6841183788254974E-2</v>
      </c>
      <c r="BC118" s="288">
        <f ca="1">IF(AND(leveraged_property,down_payment&gt;0),IRR(($AO$4:AO117,AQ118),),"N/A")</f>
        <v>1.6744912223316265E-2</v>
      </c>
      <c r="BD118" s="288">
        <f ca="1">IF(AND(leveraged_property,down_payment&gt;0),IRR(($AR$4:AR117,AT118),),"N/A")</f>
        <v>1.6647842049134054E-2</v>
      </c>
      <c r="BE118" s="288">
        <f ca="1">IF(AND(leveraged_property,down_payment&gt;0),IRR(($AU$4:AU117,AW118),),"N/A")</f>
        <v>1.6550006529541382E-2</v>
      </c>
      <c r="BF118" s="103"/>
      <c r="BG118" s="290">
        <f ca="1">IF(AND(leveraged_property,down_payment&gt;0),((1+AY118)^12)-1,"N/A")</f>
        <v>0.22600236375248328</v>
      </c>
      <c r="BH118" s="290">
        <f ca="1">IF(AND(leveraged_property,down_payment&gt;0),((1+AZ118)^12)-1,"N/A")</f>
        <v>0.22464807832594413</v>
      </c>
      <c r="BI118" s="290">
        <f ca="1">IF(AND(leveraged_property,down_payment&gt;0),((1+BA118)^12)-1,"N/A")</f>
        <v>0.22328220248476049</v>
      </c>
      <c r="BJ118" s="305">
        <f ca="1">IF(AND(leveraged_property,down_payment&gt;0),((1+BB118)^12)-1,"N/A")</f>
        <v>0.22190524993073679</v>
      </c>
      <c r="BK118" s="290">
        <f ca="1">IF(AND(leveraged_property,down_payment&gt;0),((1+BC118)^12)-1,"N/A")</f>
        <v>0.22051773538165453</v>
      </c>
      <c r="BL118" s="290">
        <f ca="1">IF(AND(leveraged_property,down_payment&gt;0),((1+BD118)^12)-1,"N/A")</f>
        <v>0.21912017329917988</v>
      </c>
      <c r="BM118" s="290">
        <f ca="1">IF(AND(leveraged_property,down_payment&gt;0),((1+BE118)^12)-1,"N/A")</f>
        <v>0.21771307666453898</v>
      </c>
    </row>
    <row r="119" spans="1:65">
      <c r="A119" s="137">
        <f>Model_Mthly!A119</f>
        <v>43661</v>
      </c>
      <c r="B119" s="138">
        <f>Model_Mthly!B119</f>
        <v>115</v>
      </c>
      <c r="C119" s="223"/>
      <c r="D119" s="139">
        <f>Model_Mthly!AQ119</f>
        <v>205015.95056712031</v>
      </c>
      <c r="E119" s="231">
        <f>IF(OR($H$3&lt;=0.0075,$H$3=""),0,SUM(Model_Mthly!AQ119,(SUM(Model_Mthly!Q120:Q131)/$E$3)*(1-cost_of_sale),-Model_Mthly!V119))</f>
        <v>39324266.653621957</v>
      </c>
      <c r="F119" s="231">
        <f>IF(OR($H$3&lt;=0.0075,$H$3=""),0,SUM(Model_Mthly!AQ119,(SUM(Model_Mthly!Q120:Q131)/$F$3)*(1-cost_of_sale),-Model_Mthly!V119))</f>
        <v>37755952.599869221</v>
      </c>
      <c r="G119" s="231">
        <f>IF(OR($H$3&lt;=0.0075,$H$3=""),0,SUM(Model_Mthly!AQ119,(SUM(Model_Mthly!Q120:Q131)/$G$3)*(1-cost_of_sale),-Model_Mthly!V119))</f>
        <v>36288820.097971499</v>
      </c>
      <c r="H119" s="232">
        <f>IF(OR($H$3&lt;=0.0075,$H$3=""),0,SUM(Model_Mthly!AQ119,(SUM(Model_Mthly!Q120:Q131)/$H$3)*(1-cost_of_sale),-Model_Mthly!V119))</f>
        <v>34913383.37744239</v>
      </c>
      <c r="I119" s="231">
        <f>IF(OR($H$3&lt;=0.0075,$H$3=""),0,SUM(Model_Mthly!AQ119,(SUM(Model_Mthly!Q120:Q131)/$I$3)*(1-cost_of_sale),-Model_Mthly!V119))</f>
        <v>33621306.458157465</v>
      </c>
      <c r="J119" s="231">
        <f>IF(OR($H$3&lt;=0.0075,$H$3=""),0,SUM(Model_Mthly!AQ119,(SUM(Model_Mthly!Q120:Q131)/$J$3)*(1-cost_of_sale),-Model_Mthly!V119))</f>
        <v>32405234.063536372</v>
      </c>
      <c r="K119" s="231">
        <f>IF(OR($H$3&lt;=0.0075,$H$3=""),0,SUM(Model_Mthly!AQ119,(SUM(Model_Mthly!Q120:Q131)/$K$3)*(1-cost_of_sale),-Model_Mthly!V119))</f>
        <v>31258651.520036478</v>
      </c>
      <c r="L119" s="160"/>
      <c r="M119" s="302">
        <f>IF(OR($H$3&lt;=0.0075,$H$3="",down_payment&lt;=0),"N/A",IRR(($D$4:D118,E119),))</f>
        <v>1.757979889927146E-2</v>
      </c>
      <c r="N119" s="288">
        <f>IF(OR($H$3&lt;=0.0075,$H$3="",down_payment&lt;=0),"N/A",IRR(($D$4:D118,F119),))</f>
        <v>1.7336445131173973E-2</v>
      </c>
      <c r="O119" s="288">
        <f>IF(OR($H$3&lt;=0.0075,$H$3="",down_payment&lt;=0),"N/A",IRR(($D$4:D118,G119),))</f>
        <v>1.7101804331824743E-2</v>
      </c>
      <c r="P119" s="303">
        <f>IF(OR($H$3&lt;=0.0075,$H$3="",down_payment&lt;=0),"N/A",IRR(($D$4:D118,H119),))</f>
        <v>1.6875305235737794E-2</v>
      </c>
      <c r="Q119" s="288">
        <f>IF(OR($H$3&lt;=0.0075,$H$3="",down_payment&lt;=0),"N/A",IRR(($D$4:D118,I119),))</f>
        <v>1.6656430221089459E-2</v>
      </c>
      <c r="R119" s="288">
        <f>IF(OR($H$3&lt;=0.0075,$H$3="",down_payment&lt;=0),"N/A",IRR(($D$4:D118,J119),))</f>
        <v>1.6444708832752924E-2</v>
      </c>
      <c r="S119" s="288">
        <f>IF(OR($H$3&lt;=0.0075,$H$3="",down_payment&lt;=0),"N/A",IRR(($D$4:D118,K119),))</f>
        <v>1.6239712251643612E-2</v>
      </c>
      <c r="T119" s="233"/>
      <c r="U119" s="304">
        <f t="shared" si="25"/>
        <v>0.23259874374286493</v>
      </c>
      <c r="V119" s="304">
        <f t="shared" si="26"/>
        <v>0.2290660872664334</v>
      </c>
      <c r="W119" s="304">
        <f t="shared" si="27"/>
        <v>0.22566870382548276</v>
      </c>
      <c r="X119" s="305">
        <f t="shared" si="28"/>
        <v>0.22239737246340829</v>
      </c>
      <c r="Y119" s="304">
        <f t="shared" si="29"/>
        <v>0.21924376181880789</v>
      </c>
      <c r="Z119" s="304">
        <f t="shared" si="30"/>
        <v>0.21620032049142357</v>
      </c>
      <c r="AA119" s="304">
        <f t="shared" si="31"/>
        <v>0.21326018369094557</v>
      </c>
      <c r="AB119" s="103"/>
      <c r="AC119" s="149">
        <f>SUM(Model_Mthly!$Q119,-IF(AND(leveraged_property,B119&lt;=amort_period),-PMT(AC$3/12,amort_period,loan_amount),0))</f>
        <v>209399.40872728941</v>
      </c>
      <c r="AD119" s="149">
        <f>AD118+IF(AND(leveraged_property,$B119&lt;=amort_period),PPMT(AD$3/12,$B119,amort_period,loan_amount),0)</f>
        <v>7763507.56774328</v>
      </c>
      <c r="AE119" s="149">
        <f ca="1">SUM(AC119,Model_Mthly!$AA119,-AD119)</f>
        <v>35084430.177386358</v>
      </c>
      <c r="AF119" s="149">
        <f>SUM(Model_Mthly!$Q119,-IF(AND(leveraged_property,B119&lt;=amort_period),-PMT(AF$3/12,amort_period,loan_amount),0))</f>
        <v>207957.85150893242</v>
      </c>
      <c r="AG119" s="149">
        <f>AG118+IF(AND(leveraged_property,$B119&lt;=amort_period),PPMT(AG$3/12,$B119,amort_period,loan_amount),0)</f>
        <v>7820333.2146408949</v>
      </c>
      <c r="AH119" s="149">
        <f ca="1">SUM(AF119,Model_Mthly!$AA119,-AG119)</f>
        <v>35026162.973270386</v>
      </c>
      <c r="AI119" s="149">
        <f>SUM(Model_Mthly!$Q119,-IF(AND(leveraged_property,B119&lt;=amort_period),-PMT(AI$3/12,amort_period,loan_amount),0))</f>
        <v>206496.5539916057</v>
      </c>
      <c r="AJ119" s="149">
        <f>AJ118+IF(AND(leveraged_property,$B119&lt;=amort_period),PPMT(AJ$3/12,$B119,amort_period,loan_amount),0)</f>
        <v>7875889.3064246885</v>
      </c>
      <c r="AK119" s="149">
        <f ca="1">SUM(AI119,Model_Mthly!$AA119,-AJ119)</f>
        <v>34969145.583969265</v>
      </c>
      <c r="AL119" s="229">
        <f>SUM(Model_Mthly!$Q119,-IF(AND(leveraged_property,B119&lt;=amort_period),-PMT(AL$3/12,amort_period,loan_amount),0))</f>
        <v>205015.95056712031</v>
      </c>
      <c r="AM119" s="229">
        <f>AM118+IF(AND(leveraged_property,$B119&lt;=amort_period),PPMT(AM$3/12,$B119,amort_period,loan_amount),0)</f>
        <v>7930170.909527082</v>
      </c>
      <c r="AN119" s="229">
        <f ca="1">SUM(AL119,Model_Mthly!$AA119,-AM119)</f>
        <v>34913383.37744239</v>
      </c>
      <c r="AO119" s="149">
        <f>SUM(Model_Mthly!$Q119,-IF(AND(leveraged_property,B119&lt;=amort_period),-PMT(AO$3/12,amort_period,loan_amount),0))</f>
        <v>203516.48433294811</v>
      </c>
      <c r="AP119" s="162">
        <f>AP118+IF(AND(leveraged_property,$B119&lt;=amort_period),PPMT(AP$3/12,$B119,amort_period,loan_amount),0)</f>
        <v>7983175.156618719</v>
      </c>
      <c r="AQ119" s="149">
        <f ca="1">SUM(AO119,Model_Mthly!$AA119,-AP119)</f>
        <v>34858879.664116576</v>
      </c>
      <c r="AR119" s="149">
        <f>SUM(Model_Mthly!$Q119,-IF(AND(leveraged_property,B119&lt;=amort_period),-PMT(AR$3/12,amort_period,loan_amount),0))</f>
        <v>201998.60580557343</v>
      </c>
      <c r="AS119" s="162">
        <f>AS118+IF(AND(leveraged_property,$B119&lt;=amort_period),PPMT(AS$3/12,$B119,amort_period,loan_amount),0)</f>
        <v>8034901.1872169757</v>
      </c>
      <c r="AT119" s="149">
        <f ca="1">SUM(AR119,Model_Mthly!$AA119,-AS119)</f>
        <v>34805635.75499095</v>
      </c>
      <c r="AU119" s="149">
        <f>SUM(Model_Mthly!$Q119,-IF(AND(leveraged_property,B119&lt;=amort_period),-PMT(AU$3/12,amort_period,loan_amount),0))</f>
        <v>200462.77165457816</v>
      </c>
      <c r="AV119" s="162">
        <f>AV118+IF(AND(leveraged_property,$B119&lt;=amort_period),PPMT(AV$3/12,$B119,amort_period,loan_amount),0)</f>
        <v>8085350.0826847404</v>
      </c>
      <c r="AW119" s="149">
        <f ca="1">SUM(AU119,Model_Mthly!$AA119,-AV119)</f>
        <v>34753651.025372185</v>
      </c>
      <c r="AX119" s="103"/>
      <c r="AY119" s="288">
        <f ca="1">IF(AND(leveraged_property,down_payment&gt;0),IRR(($AC$4:AC118,AE119),),"N/A")</f>
        <v>1.7157275500803908E-2</v>
      </c>
      <c r="AZ119" s="288">
        <f ca="1">IF(AND(leveraged_property,down_payment&gt;0),IRR(($AF$4:AF118,AH119),),"N/A")</f>
        <v>1.7064169149789421E-2</v>
      </c>
      <c r="BA119" s="288">
        <f ca="1">IF(AND(leveraged_property,down_payment&gt;0),IRR(($AI$4:AI118,AK119),),"N/A")</f>
        <v>1.6970168099246213E-2</v>
      </c>
      <c r="BB119" s="303">
        <f ca="1">IF(AND(leveraged_property,down_payment&gt;0),IRR(($AL$4:AL118,AN119),),"N/A")</f>
        <v>1.6875305235737794E-2</v>
      </c>
      <c r="BC119" s="288">
        <f ca="1">IF(AND(leveraged_property,down_payment&gt;0),IRR(($AO$4:AO118,AQ119),),"N/A")</f>
        <v>1.6779613633947643E-2</v>
      </c>
      <c r="BD119" s="288">
        <f ca="1">IF(AND(leveraged_property,down_payment&gt;0),IRR(($AR$4:AR118,AT119),),"N/A")</f>
        <v>1.6683126472186494E-2</v>
      </c>
      <c r="BE119" s="288">
        <f ca="1">IF(AND(leveraged_property,down_payment&gt;0),IRR(($AU$4:AU118,AW119),),"N/A")</f>
        <v>1.6585876950559682E-2</v>
      </c>
      <c r="BF119" s="103"/>
      <c r="BG119" s="290">
        <f ca="1">IF(AND(leveraged_property,down_payment&gt;0),((1+AY119)^12)-1,"N/A")</f>
        <v>0.22647109752926586</v>
      </c>
      <c r="BH119" s="290">
        <f ca="1">IF(AND(leveraged_property,down_payment&gt;0),((1+AZ119)^12)-1,"N/A")</f>
        <v>0.22512458273899427</v>
      </c>
      <c r="BI119" s="290">
        <f ca="1">IF(AND(leveraged_property,down_payment&gt;0),((1+BA119)^12)-1,"N/A")</f>
        <v>0.22376650353379057</v>
      </c>
      <c r="BJ119" s="305">
        <f ca="1">IF(AND(leveraged_property,down_payment&gt;0),((1+BB119)^12)-1,"N/A")</f>
        <v>0.22239737246340829</v>
      </c>
      <c r="BK119" s="290">
        <f ca="1">IF(AND(leveraged_property,down_payment&gt;0),((1+BC119)^12)-1,"N/A")</f>
        <v>0.22101770312673574</v>
      </c>
      <c r="BL119" s="290">
        <f ca="1">IF(AND(leveraged_property,down_payment&gt;0),((1+BD119)^12)-1,"N/A")</f>
        <v>0.21962800890101564</v>
      </c>
      <c r="BM119" s="290">
        <f ca="1">IF(AND(leveraged_property,down_payment&gt;0),((1+BE119)^12)-1,"N/A")</f>
        <v>0.21822880171863135</v>
      </c>
    </row>
    <row r="120" spans="1:65">
      <c r="A120" s="137">
        <f>Model_Mthly!A120</f>
        <v>43692</v>
      </c>
      <c r="B120" s="138">
        <f>Model_Mthly!B120</f>
        <v>116</v>
      </c>
      <c r="C120" s="223"/>
      <c r="D120" s="139">
        <f>Model_Mthly!AQ120</f>
        <v>223907.30982782648</v>
      </c>
      <c r="E120" s="231">
        <f>IF(OR($H$3&lt;=0.0075,$H$3=""),0,SUM(Model_Mthly!AQ120,(SUM(Model_Mthly!Q121:Q132)/$E$3)*(1-cost_of_sale),-Model_Mthly!V120))</f>
        <v>39988606.519421861</v>
      </c>
      <c r="F120" s="231">
        <f>IF(OR($H$3&lt;=0.0075,$H$3=""),0,SUM(Model_Mthly!AQ120,(SUM(Model_Mthly!Q121:Q132)/$F$3)*(1-cost_of_sale),-Model_Mthly!V120))</f>
        <v>38399363.960066468</v>
      </c>
      <c r="G120" s="231">
        <f>IF(OR($H$3&lt;=0.0075,$H$3=""),0,SUM(Model_Mthly!AQ120,(SUM(Model_Mthly!Q121:Q132)/$G$3)*(1-cost_of_sale),-Model_Mthly!V120))</f>
        <v>36912653.178733997</v>
      </c>
      <c r="H120" s="232">
        <f>IF(OR($H$3&lt;=0.0075,$H$3=""),0,SUM(Model_Mthly!AQ120,(SUM(Model_Mthly!Q121:Q132)/$H$3)*(1-cost_of_sale),-Model_Mthly!V120))</f>
        <v>35518861.821234815</v>
      </c>
      <c r="I120" s="231">
        <f>IF(OR($H$3&lt;=0.0075,$H$3=""),0,SUM(Model_Mthly!AQ120,(SUM(Model_Mthly!Q121:Q132)/$I$3)*(1-cost_of_sale),-Model_Mthly!V120))</f>
        <v>34209542.667220421</v>
      </c>
      <c r="J120" s="231">
        <f>IF(OR($H$3&lt;=0.0075,$H$3=""),0,SUM(Model_Mthly!AQ120,(SUM(Model_Mthly!Q121:Q132)/$J$3)*(1-cost_of_sale),-Model_Mthly!V120))</f>
        <v>32977242.286971591</v>
      </c>
      <c r="K120" s="231">
        <f>IF(OR($H$3&lt;=0.0075,$H$3=""),0,SUM(Model_Mthly!AQ120,(SUM(Model_Mthly!Q121:Q132)/$K$3)*(1-cost_of_sale),-Model_Mthly!V120))</f>
        <v>31815359.071308404</v>
      </c>
      <c r="L120" s="160"/>
      <c r="M120" s="302">
        <f>IF(OR($H$3&lt;=0.0075,$H$3="",down_payment&lt;=0),"N/A",IRR(($D$4:D119,E120),))</f>
        <v>1.760687055131404E-2</v>
      </c>
      <c r="N120" s="288">
        <f>IF(OR($H$3&lt;=0.0075,$H$3="",down_payment&lt;=0),"N/A",IRR(($D$4:D119,F120),))</f>
        <v>1.7366789919371618E-2</v>
      </c>
      <c r="O120" s="288">
        <f>IF(OR($H$3&lt;=0.0075,$H$3="",down_payment&lt;=0),"N/A",IRR(($D$4:D119,G120),))</f>
        <v>1.7135334687026486E-2</v>
      </c>
      <c r="P120" s="303">
        <f>IF(OR($H$3&lt;=0.0075,$H$3="",down_payment&lt;=0),"N/A",IRR(($D$4:D119,H120),))</f>
        <v>1.6911939108922951E-2</v>
      </c>
      <c r="Q120" s="288">
        <f>IF(OR($H$3&lt;=0.0075,$H$3="",down_payment&lt;=0),"N/A",IRR(($D$4:D119,I120),))</f>
        <v>1.6696090573308692E-2</v>
      </c>
      <c r="R120" s="288">
        <f>IF(OR($H$3&lt;=0.0075,$H$3="",down_payment&lt;=0),"N/A",IRR(($D$4:D119,J120),))</f>
        <v>1.6487323186133995E-2</v>
      </c>
      <c r="S120" s="288">
        <f>IF(OR($H$3&lt;=0.0075,$H$3="",down_payment&lt;=0),"N/A",IRR(($D$4:D119,K120),))</f>
        <v>1.6285212292589196E-2</v>
      </c>
      <c r="T120" s="233"/>
      <c r="U120" s="304">
        <f t="shared" si="25"/>
        <v>0.23299230541502691</v>
      </c>
      <c r="V120" s="304">
        <f t="shared" si="26"/>
        <v>0.22950608175602039</v>
      </c>
      <c r="W120" s="304">
        <f t="shared" si="27"/>
        <v>0.22615366482990562</v>
      </c>
      <c r="X120" s="305">
        <f t="shared" si="28"/>
        <v>0.22292593313407472</v>
      </c>
      <c r="Y120" s="304">
        <f t="shared" si="29"/>
        <v>0.21981464510298965</v>
      </c>
      <c r="Z120" s="304">
        <f t="shared" si="30"/>
        <v>0.21681233067431105</v>
      </c>
      <c r="AA120" s="304">
        <f t="shared" si="31"/>
        <v>0.21391219895819003</v>
      </c>
      <c r="AB120" s="103"/>
      <c r="AC120" s="149">
        <f>SUM(Model_Mthly!$Q120,-IF(AND(leveraged_property,B120&lt;=amort_period),-PMT(AC$3/12,amort_period,loan_amount),0))</f>
        <v>228290.76798799558</v>
      </c>
      <c r="AD120" s="149">
        <f>AD119+IF(AND(leveraged_property,$B120&lt;=amort_period),PPMT(AD$3/12,$B120,amort_period,loan_amount),0)</f>
        <v>7744681.6215644674</v>
      </c>
      <c r="AE120" s="149">
        <f ca="1">SUM(AC120,Model_Mthly!$AA120,-AD120)</f>
        <v>35691141.228898294</v>
      </c>
      <c r="AF120" s="149">
        <f>SUM(Model_Mthly!$Q120,-IF(AND(leveraged_property,B120&lt;=amort_period),-PMT(AF$3/12,amort_period,loan_amount),0))</f>
        <v>226849.21076963859</v>
      </c>
      <c r="AG120" s="149">
        <f>AG119+IF(AND(leveraged_property,$B120&lt;=amort_period),PPMT(AG$3/12,$B120,amort_period,loan_amount),0)</f>
        <v>7801919.8821824118</v>
      </c>
      <c r="AH120" s="149">
        <f ca="1">SUM(AF120,Model_Mthly!$AA120,-AG120)</f>
        <v>35632461.411061995</v>
      </c>
      <c r="AI120" s="149">
        <f>SUM(Model_Mthly!$Q120,-IF(AND(leveraged_property,B120&lt;=amort_period),-PMT(AI$3/12,amort_period,loan_amount),0))</f>
        <v>225387.91325231188</v>
      </c>
      <c r="AJ120" s="149">
        <f>AJ119+IF(AND(leveraged_property,$B120&lt;=amort_period),PPMT(AJ$3/12,$B120,amort_period,loan_amount),0)</f>
        <v>7857886.970436817</v>
      </c>
      <c r="AK120" s="149">
        <f ca="1">SUM(AI120,Model_Mthly!$AA120,-AJ120)</f>
        <v>35575033.025290258</v>
      </c>
      <c r="AL120" s="229">
        <f>SUM(Model_Mthly!$Q120,-IF(AND(leveraged_property,B120&lt;=amort_period),-PMT(AL$3/12,amort_period,loan_amount),0))</f>
        <v>223907.30982782648</v>
      </c>
      <c r="AM120" s="229">
        <f>AM119+IF(AND(leveraged_property,$B120&lt;=amort_period),PPMT(AM$3/12,$B120,amort_period,loan_amount),0)</f>
        <v>7912577.5710677821</v>
      </c>
      <c r="AN120" s="229">
        <f ca="1">SUM(AL120,Model_Mthly!$AA120,-AM120)</f>
        <v>35518861.821234815</v>
      </c>
      <c r="AO120" s="149">
        <f>SUM(Model_Mthly!$Q120,-IF(AND(leveraged_property,B120&lt;=amort_period),-PMT(AO$3/12,amort_period,loan_amount),0))</f>
        <v>222407.84359365428</v>
      </c>
      <c r="AP120" s="162">
        <f>AP119+IF(AND(leveraged_property,$B120&lt;=amort_period),PPMT(AP$3/12,$B120,amort_period,loan_amount),0)</f>
        <v>7965988.4495487129</v>
      </c>
      <c r="AQ120" s="149">
        <f ca="1">SUM(AO120,Model_Mthly!$AA120,-AP120)</f>
        <v>35463951.476519711</v>
      </c>
      <c r="AR120" s="149">
        <f>SUM(Model_Mthly!$Q120,-IF(AND(leveraged_property,B120&lt;=amort_period),-PMT(AR$3/12,amort_period,loan_amount),0))</f>
        <v>220889.9650662796</v>
      </c>
      <c r="AS120" s="162">
        <f>AS119+IF(AND(leveraged_property,$B120&lt;=amort_period),PPMT(AS$3/12,$B120,amort_period,loan_amount),0)</f>
        <v>8018118.3932635486</v>
      </c>
      <c r="AT120" s="149">
        <f ca="1">SUM(AR120,Model_Mthly!$AA120,-AS120)</f>
        <v>35410303.654277496</v>
      </c>
      <c r="AU120" s="149">
        <f>SUM(Model_Mthly!$Q120,-IF(AND(leveraged_property,B120&lt;=amort_period),-PMT(AU$3/12,amort_period,loan_amount),0))</f>
        <v>219354.13091528433</v>
      </c>
      <c r="AV120" s="162">
        <f>AV119+IF(AND(leveraged_property,$B120&lt;=amort_period),PPMT(AV$3/12,$B120,amort_period,loan_amount),0)</f>
        <v>8068968.1469915491</v>
      </c>
      <c r="AW120" s="149">
        <f ca="1">SUM(AU120,Model_Mthly!$AA120,-AV120)</f>
        <v>35357918.066398501</v>
      </c>
      <c r="AX120" s="103"/>
      <c r="AY120" s="288">
        <f ca="1">IF(AND(leveraged_property,down_payment&gt;0),IRR(($AC$4:AC119,AE120),),"N/A")</f>
        <v>1.719215368140176E-2</v>
      </c>
      <c r="AZ120" s="288">
        <f ca="1">IF(AND(leveraged_property,down_payment&gt;0),IRR(($AF$4:AF119,AH120),),"N/A")</f>
        <v>1.7099629097316688E-2</v>
      </c>
      <c r="BA120" s="288">
        <f ca="1">IF(AND(leveraged_property,down_payment&gt;0),IRR(($AI$4:AI119,AK120),),"N/A")</f>
        <v>1.7006213302068661E-2</v>
      </c>
      <c r="BB120" s="303">
        <f ca="1">IF(AND(leveraged_property,down_payment&gt;0),IRR(($AL$4:AL119,AN120),),"N/A")</f>
        <v>1.6911939108922951E-2</v>
      </c>
      <c r="BC120" s="288">
        <f ca="1">IF(AND(leveraged_property,down_payment&gt;0),IRR(($AO$4:AO119,AQ120),),"N/A")</f>
        <v>1.6816839520358985E-2</v>
      </c>
      <c r="BD120" s="288">
        <f ca="1">IF(AND(leveraged_property,down_payment&gt;0),IRR(($AR$4:AR119,AT120),),"N/A")</f>
        <v>1.6720947643706161E-2</v>
      </c>
      <c r="BE120" s="288">
        <f ca="1">IF(AND(leveraged_property,down_payment&gt;0),IRR(($AU$4:AU119,AW120),),"N/A")</f>
        <v>1.6624296609433868E-2</v>
      </c>
      <c r="BF120" s="103"/>
      <c r="BG120" s="290">
        <f ca="1">IF(AND(leveraged_property,down_payment&gt;0),((1+AY120)^12)-1,"N/A")</f>
        <v>0.22697585898436379</v>
      </c>
      <c r="BH120" s="290">
        <f ca="1">IF(AND(leveraged_property,down_payment&gt;0),((1+AZ120)^12)-1,"N/A")</f>
        <v>0.22563724873823277</v>
      </c>
      <c r="BI120" s="290">
        <f ca="1">IF(AND(leveraged_property,down_payment&gt;0),((1+BA120)^12)-1,"N/A")</f>
        <v>0.22428710301520671</v>
      </c>
      <c r="BJ120" s="305">
        <f ca="1">IF(AND(leveraged_property,down_payment&gt;0),((1+BB120)^12)-1,"N/A")</f>
        <v>0.22292593313407472</v>
      </c>
      <c r="BK120" s="290">
        <f ca="1">IF(AND(leveraged_property,down_payment&gt;0),((1+BC120)^12)-1,"N/A")</f>
        <v>0.22155425149378583</v>
      </c>
      <c r="BL120" s="290">
        <f ca="1">IF(AND(leveraged_property,down_payment&gt;0),((1+BD120)^12)-1,"N/A")</f>
        <v>0.22017257030422899</v>
      </c>
      <c r="BM120" s="290">
        <f ca="1">IF(AND(leveraged_property,down_payment&gt;0),((1+BE120)^12)-1,"N/A")</f>
        <v>0.21878140036442484</v>
      </c>
    </row>
    <row r="121" spans="1:65">
      <c r="A121" s="137">
        <f>Model_Mthly!A121</f>
        <v>43723</v>
      </c>
      <c r="B121" s="138">
        <f>Model_Mthly!B121</f>
        <v>117</v>
      </c>
      <c r="C121" s="223"/>
      <c r="D121" s="139">
        <f>Model_Mthly!AQ121</f>
        <v>223907.30982782648</v>
      </c>
      <c r="E121" s="231">
        <f>IF(OR($H$3&lt;=0.0075,$H$3=""),0,SUM(Model_Mthly!AQ121,(SUM(Model_Mthly!Q122:Q133)/$E$3)*(1-cost_of_sale),-Model_Mthly!V121))</f>
        <v>40634135.662095673</v>
      </c>
      <c r="F121" s="231">
        <f>IF(OR($H$3&lt;=0.0075,$H$3=""),0,SUM(Model_Mthly!AQ121,(SUM(Model_Mthly!Q122:Q133)/$F$3)*(1-cost_of_sale),-Model_Mthly!V121))</f>
        <v>39023964.597137615</v>
      </c>
      <c r="G121" s="231">
        <f>IF(OR($H$3&lt;=0.0075,$H$3=""),0,SUM(Model_Mthly!AQ121,(SUM(Model_Mthly!Q122:Q133)/$G$3)*(1-cost_of_sale),-Model_Mthly!V121))</f>
        <v>37517675.536370397</v>
      </c>
      <c r="H121" s="232">
        <f>IF(OR($H$3&lt;=0.0075,$H$3=""),0,SUM(Model_Mthly!AQ121,(SUM(Model_Mthly!Q122:Q133)/$H$3)*(1-cost_of_sale),-Model_Mthly!V121))</f>
        <v>36105529.541901134</v>
      </c>
      <c r="I121" s="231">
        <f>IF(OR($H$3&lt;=0.0075,$H$3=""),0,SUM(Model_Mthly!AQ121,(SUM(Model_Mthly!Q122:Q133)/$I$3)*(1-cost_of_sale),-Model_Mthly!V121))</f>
        <v>34778968.153157279</v>
      </c>
      <c r="J121" s="231">
        <f>IF(OR($H$3&lt;=0.0075,$H$3=""),0,SUM(Model_Mthly!AQ121,(SUM(Model_Mthly!Q122:Q133)/$J$3)*(1-cost_of_sale),-Model_Mthly!V121))</f>
        <v>33530439.787280712</v>
      </c>
      <c r="K121" s="231">
        <f>IF(OR($H$3&lt;=0.0075,$H$3=""),0,SUM(Model_Mthly!AQ121,(SUM(Model_Mthly!Q122:Q133)/$K$3)*(1-cost_of_sale),-Model_Mthly!V121))</f>
        <v>32353255.899454232</v>
      </c>
      <c r="L121" s="160"/>
      <c r="M121" s="302">
        <f>IF(OR($H$3&lt;=0.0075,$H$3="",down_payment&lt;=0),"N/A",IRR(($D$4:D120,E121),))</f>
        <v>1.763144148562228E-2</v>
      </c>
      <c r="N121" s="288">
        <f>IF(OR($H$3&lt;=0.0075,$H$3="",down_payment&lt;=0),"N/A",IRR(($D$4:D120,F121),))</f>
        <v>1.7394554108747243E-2</v>
      </c>
      <c r="O121" s="288">
        <f>IF(OR($H$3&lt;=0.0075,$H$3="",down_payment&lt;=0),"N/A",IRR(($D$4:D120,G121),))</f>
        <v>1.7166205897865331E-2</v>
      </c>
      <c r="P121" s="303">
        <f>IF(OR($H$3&lt;=0.0075,$H$3="",down_payment&lt;=0),"N/A",IRR(($D$4:D120,H121),))</f>
        <v>1.6945836535712862E-2</v>
      </c>
      <c r="Q121" s="288">
        <f>IF(OR($H$3&lt;=0.0075,$H$3="",down_payment&lt;=0),"N/A",IRR(($D$4:D120,I121),))</f>
        <v>1.6732938337129077E-2</v>
      </c>
      <c r="R121" s="288">
        <f>IF(OR($H$3&lt;=0.0075,$H$3="",down_payment&lt;=0),"N/A",IRR(($D$4:D120,J121),))</f>
        <v>1.6527049893192262E-2</v>
      </c>
      <c r="S121" s="288">
        <f>IF(OR($H$3&lt;=0.0075,$H$3="",down_payment&lt;=0),"N/A",IRR(($D$4:D120,K121),))</f>
        <v>1.6327750644069959E-2</v>
      </c>
      <c r="T121" s="233"/>
      <c r="U121" s="304">
        <f t="shared" si="25"/>
        <v>0.23334961192475645</v>
      </c>
      <c r="V121" s="304">
        <f t="shared" si="26"/>
        <v>0.22990878446919938</v>
      </c>
      <c r="W121" s="304">
        <f t="shared" si="27"/>
        <v>0.22660032123613516</v>
      </c>
      <c r="X121" s="305">
        <f t="shared" si="28"/>
        <v>0.22341519842669455</v>
      </c>
      <c r="Y121" s="304">
        <f t="shared" si="29"/>
        <v>0.22034526269493337</v>
      </c>
      <c r="Z121" s="304">
        <f t="shared" si="30"/>
        <v>0.21738312389210335</v>
      </c>
      <c r="AA121" s="304">
        <f t="shared" si="31"/>
        <v>0.21452206373781069</v>
      </c>
      <c r="AB121" s="103"/>
      <c r="AC121" s="149">
        <f>SUM(Model_Mthly!$Q121,-IF(AND(leveraged_property,B121&lt;=amort_period),-PMT(AC$3/12,amort_period,loan_amount),0))</f>
        <v>228290.76798799558</v>
      </c>
      <c r="AD121" s="149">
        <f>AD120+IF(AND(leveraged_property,$B121&lt;=amort_period),PPMT(AD$3/12,$B121,amort_period,loan_amount),0)</f>
        <v>7725781.1560153645</v>
      </c>
      <c r="AE121" s="149">
        <f ca="1">SUM(AC121,Model_Mthly!$AA121,-AD121)</f>
        <v>36279035.440519817</v>
      </c>
      <c r="AF121" s="149">
        <f>SUM(Model_Mthly!$Q121,-IF(AND(leveraged_property,B121&lt;=amort_period),-PMT(AF$3/12,amort_period,loan_amount),0))</f>
        <v>226849.21076963859</v>
      </c>
      <c r="AG121" s="149">
        <f>AG120+IF(AND(leveraged_property,$B121&lt;=amort_period),PPMT(AG$3/12,$B121,amort_period,loan_amount),0)</f>
        <v>7783429.827505352</v>
      </c>
      <c r="AH121" s="149">
        <f ca="1">SUM(AF121,Model_Mthly!$AA121,-AG121)</f>
        <v>36219945.211811475</v>
      </c>
      <c r="AI121" s="149">
        <f>SUM(Model_Mthly!$Q121,-IF(AND(leveraged_property,B121&lt;=amort_period),-PMT(AI$3/12,amort_period,loan_amount),0))</f>
        <v>225387.91325231188</v>
      </c>
      <c r="AJ121" s="149">
        <f>AJ120+IF(AND(leveraged_property,$B121&lt;=amort_period),PPMT(AJ$3/12,$B121,amort_period,loan_amount),0)</f>
        <v>7839805.8742289981</v>
      </c>
      <c r="AK121" s="149">
        <f ca="1">SUM(AI121,Model_Mthly!$AA121,-AJ121)</f>
        <v>36162107.867570497</v>
      </c>
      <c r="AL121" s="229">
        <f>SUM(Model_Mthly!$Q121,-IF(AND(leveraged_property,B121&lt;=amort_period),-PMT(AL$3/12,amort_period,loan_amount),0))</f>
        <v>223907.30982782648</v>
      </c>
      <c r="AM121" s="229">
        <f>AM120+IF(AND(leveraged_property,$B121&lt;=amort_period),PPMT(AM$3/12,$B121,amort_period,loan_amount),0)</f>
        <v>7894903.5964738773</v>
      </c>
      <c r="AN121" s="229">
        <f ca="1">SUM(AL121,Model_Mthly!$AA121,-AM121)</f>
        <v>36105529.541901134</v>
      </c>
      <c r="AO121" s="149">
        <f>SUM(Model_Mthly!$Q121,-IF(AND(leveraged_property,B121&lt;=amort_period),-PMT(AO$3/12,amort_period,loan_amount),0))</f>
        <v>222407.84359365428</v>
      </c>
      <c r="AP121" s="162">
        <f>AP120+IF(AND(leveraged_property,$B121&lt;=amort_period),PPMT(AP$3/12,$B121,amort_period,loan_amount),0)</f>
        <v>7948719.38950733</v>
      </c>
      <c r="AQ121" s="149">
        <f ca="1">SUM(AO121,Model_Mthly!$AA121,-AP121)</f>
        <v>36050214.282633513</v>
      </c>
      <c r="AR121" s="149">
        <f>SUM(Model_Mthly!$Q121,-IF(AND(leveraged_property,B121&lt;=amort_period),-PMT(AR$3/12,amort_period,loan_amount),0))</f>
        <v>220889.9650662796</v>
      </c>
      <c r="AS121" s="162">
        <f>AS120+IF(AND(leveraged_property,$B121&lt;=amort_period),PPMT(AS$3/12,$B121,amort_period,loan_amount),0)</f>
        <v>8001251.6853403542</v>
      </c>
      <c r="AT121" s="149">
        <f ca="1">SUM(AR121,Model_Mthly!$AA121,-AS121)</f>
        <v>35996164.108273111</v>
      </c>
      <c r="AU121" s="149">
        <f>SUM(Model_Mthly!$Q121,-IF(AND(leveraged_property,B121&lt;=amort_period),-PMT(AU$3/12,amort_period,loan_amount),0))</f>
        <v>219354.13091528433</v>
      </c>
      <c r="AV121" s="162">
        <f>AV120+IF(AND(leveraged_property,$B121&lt;=amort_period),PPMT(AV$3/12,$B121,amort_period,loan_amount),0)</f>
        <v>8052500.8887166232</v>
      </c>
      <c r="AW121" s="149">
        <f ca="1">SUM(AU121,Model_Mthly!$AA121,-AV121)</f>
        <v>35943379.070745848</v>
      </c>
      <c r="AX121" s="103"/>
      <c r="AY121" s="288">
        <f ca="1">IF(AND(leveraged_property,down_payment&gt;0),IRR(($AC$4:AC120,AE121),),"N/A")</f>
        <v>1.7224351146313575E-2</v>
      </c>
      <c r="AZ121" s="288">
        <f ca="1">IF(AND(leveraged_property,down_payment&gt;0),IRR(($AF$4:AF120,AH121),),"N/A")</f>
        <v>1.7132389839251406E-2</v>
      </c>
      <c r="BA121" s="288">
        <f ca="1">IF(AND(leveraged_property,down_payment&gt;0),IRR(($AI$4:AI120,AK121),),"N/A")</f>
        <v>1.7039540721453163E-2</v>
      </c>
      <c r="BB121" s="303">
        <f ca="1">IF(AND(leveraged_property,down_payment&gt;0),IRR(($AL$4:AL120,AN121),),"N/A")</f>
        <v>1.6945836535712862E-2</v>
      </c>
      <c r="BC121" s="288">
        <f ca="1">IF(AND(leveraged_property,down_payment&gt;0),IRR(($AO$4:AO120,AQ121),),"N/A")</f>
        <v>1.6851310215084347E-2</v>
      </c>
      <c r="BD121" s="288">
        <f ca="1">IF(AND(leveraged_property,down_payment&gt;0),IRR(($AR$4:AR120,AT121),),"N/A")</f>
        <v>1.6755994798640185E-2</v>
      </c>
      <c r="BE121" s="288">
        <f ca="1">IF(AND(leveraged_property,down_payment&gt;0),IRR(($AU$4:AU120,AW121),),"N/A")</f>
        <v>1.6659923349876853E-2</v>
      </c>
      <c r="BF121" s="103"/>
      <c r="BG121" s="290">
        <f ca="1">IF(AND(leveraged_property,down_payment&gt;0),((1+AY121)^12)-1,"N/A")</f>
        <v>0.22744199380914254</v>
      </c>
      <c r="BH121" s="290">
        <f ca="1">IF(AND(leveraged_property,down_payment&gt;0),((1+AZ121)^12)-1,"N/A")</f>
        <v>0.22611106544391379</v>
      </c>
      <c r="BI121" s="290">
        <f ca="1">IF(AND(leveraged_property,down_payment&gt;0),((1+BA121)^12)-1,"N/A")</f>
        <v>0.22476863027473959</v>
      </c>
      <c r="BJ121" s="305">
        <f ca="1">IF(AND(leveraged_property,down_payment&gt;0),((1+BB121)^12)-1,"N/A")</f>
        <v>0.22341519842669455</v>
      </c>
      <c r="BK121" s="290">
        <f ca="1">IF(AND(leveraged_property,down_payment&gt;0),((1+BC121)^12)-1,"N/A")</f>
        <v>0.22205128113474304</v>
      </c>
      <c r="BL121" s="290">
        <f ca="1">IF(AND(leveraged_property,down_payment&gt;0),((1+BD121)^12)-1,"N/A")</f>
        <v>0.22067738947604831</v>
      </c>
      <c r="BM121" s="290">
        <f ca="1">IF(AND(leveraged_property,down_payment&gt;0),((1+BE121)^12)-1,"N/A")</f>
        <v>0.21929403314950924</v>
      </c>
    </row>
    <row r="122" spans="1:65">
      <c r="A122" s="137">
        <f>Model_Mthly!A122</f>
        <v>43753</v>
      </c>
      <c r="B122" s="138">
        <f>Model_Mthly!B122</f>
        <v>118</v>
      </c>
      <c r="C122" s="223"/>
      <c r="D122" s="139">
        <f>Model_Mthly!AQ122</f>
        <v>223907.30982782648</v>
      </c>
      <c r="E122" s="231">
        <f>IF(OR($H$3&lt;=0.0075,$H$3=""),0,SUM(Model_Mthly!AQ122,(SUM(Model_Mthly!Q123:Q134)/$E$3)*(1-cost_of_sale),-Model_Mthly!V122))</f>
        <v>41279745.810486369</v>
      </c>
      <c r="F122" s="231">
        <f>IF(OR($H$3&lt;=0.0075,$H$3=""),0,SUM(Model_Mthly!AQ122,(SUM(Model_Mthly!Q123:Q134)/$F$3)*(1-cost_of_sale),-Model_Mthly!V122))</f>
        <v>39648646.239925653</v>
      </c>
      <c r="G122" s="231">
        <f>IF(OR($H$3&lt;=0.0075,$H$3=""),0,SUM(Model_Mthly!AQ122,(SUM(Model_Mthly!Q123:Q134)/$G$3)*(1-cost_of_sale),-Model_Mthly!V122))</f>
        <v>38122778.899723679</v>
      </c>
      <c r="H122" s="232">
        <f>IF(OR($H$3&lt;=0.0075,$H$3=""),0,SUM(Model_Mthly!AQ122,(SUM(Model_Mthly!Q123:Q134)/$H$3)*(1-cost_of_sale),-Model_Mthly!V122))</f>
        <v>36692278.268284336</v>
      </c>
      <c r="I122" s="231">
        <f>IF(OR($H$3&lt;=0.0075,$H$3=""),0,SUM(Model_Mthly!AQ122,(SUM(Model_Mthly!Q123:Q134)/$I$3)*(1-cost_of_sale),-Model_Mthly!V122))</f>
        <v>35348474.644811019</v>
      </c>
      <c r="J122" s="231">
        <f>IF(OR($H$3&lt;=0.0075,$H$3=""),0,SUM(Model_Mthly!AQ122,(SUM(Model_Mthly!Q123:Q134)/$J$3)*(1-cost_of_sale),-Model_Mthly!V122))</f>
        <v>34083718.293306716</v>
      </c>
      <c r="K122" s="231">
        <f>IF(OR($H$3&lt;=0.0075,$H$3=""),0,SUM(Model_Mthly!AQ122,(SUM(Model_Mthly!Q123:Q134)/$K$3)*(1-cost_of_sale),-Model_Mthly!V122))</f>
        <v>32891233.733316943</v>
      </c>
      <c r="L122" s="160"/>
      <c r="M122" s="302">
        <f>IF(OR($H$3&lt;=0.0075,$H$3="",down_payment&lt;=0),"N/A",IRR(($D$4:D121,E122),))</f>
        <v>1.7653640458182657E-2</v>
      </c>
      <c r="N122" s="288">
        <f>IF(OR($H$3&lt;=0.0075,$H$3="",down_payment&lt;=0),"N/A",IRR(($D$4:D121,F122),))</f>
        <v>1.7419869637767423E-2</v>
      </c>
      <c r="O122" s="288">
        <f>IF(OR($H$3&lt;=0.0075,$H$3="",down_payment&lt;=0),"N/A",IRR(($D$4:D121,G122),))</f>
        <v>1.7194553066346048E-2</v>
      </c>
      <c r="P122" s="303">
        <f>IF(OR($H$3&lt;=0.0075,$H$3="",down_payment&lt;=0),"N/A",IRR(($D$4:D121,H122),))</f>
        <v>1.6977135765035657E-2</v>
      </c>
      <c r="Q122" s="288">
        <f>IF(OR($H$3&lt;=0.0075,$H$3="",down_payment&lt;=0),"N/A",IRR(($D$4:D121,I122),))</f>
        <v>1.6767114893902882E-2</v>
      </c>
      <c r="R122" s="288">
        <f>IF(OR($H$3&lt;=0.0075,$H$3="",down_payment&lt;=0),"N/A",IRR(($D$4:D121,J122),))</f>
        <v>1.6564033455134155E-2</v>
      </c>
      <c r="S122" s="288">
        <f>IF(OR($H$3&lt;=0.0075,$H$3="",down_payment&lt;=0),"N/A",IRR(($D$4:D121,K122),))</f>
        <v>1.6367474916341808E-2</v>
      </c>
      <c r="T122" s="233"/>
      <c r="U122" s="304">
        <f t="shared" si="25"/>
        <v>0.23367250736485201</v>
      </c>
      <c r="V122" s="304">
        <f t="shared" si="26"/>
        <v>0.23027607622838753</v>
      </c>
      <c r="W122" s="304">
        <f t="shared" si="27"/>
        <v>0.2270105901873527</v>
      </c>
      <c r="X122" s="305">
        <f t="shared" si="28"/>
        <v>0.22386712143887721</v>
      </c>
      <c r="Y122" s="304">
        <f t="shared" si="29"/>
        <v>0.22083760331853708</v>
      </c>
      <c r="Z122" s="304">
        <f t="shared" si="30"/>
        <v>0.21791472420138303</v>
      </c>
      <c r="AA122" s="304">
        <f t="shared" si="31"/>
        <v>0.2150918371567303</v>
      </c>
      <c r="AB122" s="103"/>
      <c r="AC122" s="149">
        <f>SUM(Model_Mthly!$Q122,-IF(AND(leveraged_property,B122&lt;=amort_period),-PMT(AC$3/12,amort_period,loan_amount),0))</f>
        <v>228290.76798799558</v>
      </c>
      <c r="AD122" s="149">
        <f>AD121+IF(AND(leveraged_property,$B122&lt;=amort_period),PPMT(AD$3/12,$B122,amort_period,loan_amount),0)</f>
        <v>7706805.8761234628</v>
      </c>
      <c r="AE122" s="149">
        <f ca="1">SUM(AC122,Model_Mthly!$AA122,-AD122)</f>
        <v>36867004.466484122</v>
      </c>
      <c r="AF122" s="149">
        <f>SUM(Model_Mthly!$Q122,-IF(AND(leveraged_property,B122&lt;=amort_period),-PMT(AF$3/12,amort_period,loan_amount),0))</f>
        <v>226849.21076963859</v>
      </c>
      <c r="AG122" s="149">
        <f>AG121+IF(AND(leveraged_property,$B122&lt;=amort_period),PPMT(AG$3/12,$B122,amort_period,loan_amount),0)</f>
        <v>7764862.7309338041</v>
      </c>
      <c r="AH122" s="149">
        <f ca="1">SUM(AF122,Model_Mthly!$AA122,-AG122)</f>
        <v>36807506.054455429</v>
      </c>
      <c r="AI122" s="149">
        <f>SUM(Model_Mthly!$Q122,-IF(AND(leveraged_property,B122&lt;=amort_period),-PMT(AI$3/12,amort_period,loan_amount),0))</f>
        <v>225387.91325231188</v>
      </c>
      <c r="AJ122" s="149">
        <f>AJ121+IF(AND(leveraged_property,$B122&lt;=amort_period),PPMT(AJ$3/12,$B122,amort_period,loan_amount),0)</f>
        <v>7821645.6732252697</v>
      </c>
      <c r="AK122" s="149">
        <f ca="1">SUM(AI122,Model_Mthly!$AA122,-AJ122)</f>
        <v>36749261.814646631</v>
      </c>
      <c r="AL122" s="229">
        <f>SUM(Model_Mthly!$Q122,-IF(AND(leveraged_property,B122&lt;=amort_period),-PMT(AL$3/12,amort_period,loan_amount),0))</f>
        <v>223907.30982782648</v>
      </c>
      <c r="AM122" s="229">
        <f>AM121+IF(AND(leveraged_property,$B122&lt;=amort_period),PPMT(AM$3/12,$B122,amort_period,loan_amount),0)</f>
        <v>7877148.6161630843</v>
      </c>
      <c r="AN122" s="229">
        <f ca="1">SUM(AL122,Model_Mthly!$AA122,-AM122)</f>
        <v>36692278.268284336</v>
      </c>
      <c r="AO122" s="149">
        <f>SUM(Model_Mthly!$Q122,-IF(AND(leveraged_property,B122&lt;=amort_period),-PMT(AO$3/12,amort_period,loan_amount),0))</f>
        <v>222407.84359365428</v>
      </c>
      <c r="AP122" s="162">
        <f>AP121+IF(AND(leveraged_property,$B122&lt;=amort_period),PPMT(AP$3/12,$B122,amort_period,loan_amount),0)</f>
        <v>7931367.5818865821</v>
      </c>
      <c r="AQ122" s="149">
        <f ca="1">SUM(AO122,Model_Mthly!$AA122,-AP122)</f>
        <v>36636559.836326666</v>
      </c>
      <c r="AR122" s="149">
        <f>SUM(Model_Mthly!$Q122,-IF(AND(leveraged_property,B122&lt;=amort_period),-PMT(AR$3/12,amort_period,loan_amount),0))</f>
        <v>220889.9650662796</v>
      </c>
      <c r="AS122" s="162">
        <f>AS121+IF(AND(leveraged_property,$B122&lt;=amort_period),PPMT(AS$3/12,$B122,amort_period,loan_amount),0)</f>
        <v>7984300.6438775444</v>
      </c>
      <c r="AT122" s="149">
        <f ca="1">SUM(AR122,Model_Mthly!$AA122,-AS122)</f>
        <v>36582108.895808324</v>
      </c>
      <c r="AU122" s="149">
        <f>SUM(Model_Mthly!$Q122,-IF(AND(leveraged_property,B122&lt;=amort_period),-PMT(AU$3/12,amort_period,loan_amount),0))</f>
        <v>219354.13091528433</v>
      </c>
      <c r="AV122" s="162">
        <f>AV121+IF(AND(leveraged_property,$B122&lt;=amort_period),PPMT(AV$3/12,$B122,amort_period,loan_amount),0)</f>
        <v>8035947.8634715145</v>
      </c>
      <c r="AW122" s="149">
        <f ca="1">SUM(AU122,Model_Mthly!$AA122,-AV122)</f>
        <v>36528925.84206336</v>
      </c>
      <c r="AX122" s="103"/>
      <c r="AY122" s="288">
        <f ca="1">IF(AND(leveraged_property,down_payment&gt;0),IRR(($AC$4:AC121,AE122),),"N/A")</f>
        <v>1.7254003714583757E-2</v>
      </c>
      <c r="AZ122" s="288">
        <f ca="1">IF(AND(leveraged_property,down_payment&gt;0),IRR(($AF$4:AF121,AH122),),"N/A")</f>
        <v>1.7162588000229729E-2</v>
      </c>
      <c r="BA122" s="288">
        <f ca="1">IF(AND(leveraged_property,down_payment&gt;0),IRR(($AI$4:AI121,AK122),),"N/A")</f>
        <v>1.7070287792032401E-2</v>
      </c>
      <c r="BB122" s="303">
        <f ca="1">IF(AND(leveraged_property,down_payment&gt;0),IRR(($AL$4:AL121,AN122),),"N/A")</f>
        <v>1.6977135765035657E-2</v>
      </c>
      <c r="BC122" s="288">
        <f ca="1">IF(AND(leveraged_property,down_payment&gt;0),IRR(($AO$4:AO121,AQ122),),"N/A")</f>
        <v>1.6883164785541183E-2</v>
      </c>
      <c r="BD122" s="288">
        <f ca="1">IF(AND(leveraged_property,down_payment&gt;0),IRR(($AR$4:AR121,AT122),),"N/A")</f>
        <v>1.6788407826985343E-2</v>
      </c>
      <c r="BE122" s="288">
        <f ca="1">IF(AND(leveraged_property,down_payment&gt;0),IRR(($AU$4:AU121,AW122),),"N/A")</f>
        <v>1.6692897888453483E-2</v>
      </c>
      <c r="BF122" s="103"/>
      <c r="BG122" s="290">
        <f ca="1">IF(AND(leveraged_property,down_payment&gt;0),((1+AY122)^12)-1,"N/A")</f>
        <v>0.22787142879218591</v>
      </c>
      <c r="BH122" s="290">
        <f ca="1">IF(AND(leveraged_property,down_payment&gt;0),((1+AZ122)^12)-1,"N/A")</f>
        <v>0.22654796840454305</v>
      </c>
      <c r="BI122" s="290">
        <f ca="1">IF(AND(leveraged_property,down_payment&gt;0),((1+BA122)^12)-1,"N/A")</f>
        <v>0.2252130296309871</v>
      </c>
      <c r="BJ122" s="305">
        <f ca="1">IF(AND(leveraged_property,down_payment&gt;0),((1+BB122)^12)-1,"N/A")</f>
        <v>0.22386712143887721</v>
      </c>
      <c r="BK122" s="290">
        <f ca="1">IF(AND(leveraged_property,down_payment&gt;0),((1+BC122)^12)-1,"N/A")</f>
        <v>0.22251075393394437</v>
      </c>
      <c r="BL122" s="290">
        <f ca="1">IF(AND(leveraged_property,down_payment&gt;0),((1+BD122)^12)-1,"N/A")</f>
        <v>0.22114443709409382</v>
      </c>
      <c r="BM122" s="290">
        <f ca="1">IF(AND(leveraged_property,down_payment&gt;0),((1+BE122)^12)-1,"N/A")</f>
        <v>0.21976867955024915</v>
      </c>
    </row>
    <row r="123" spans="1:65">
      <c r="A123" s="137">
        <f>Model_Mthly!A123</f>
        <v>43784</v>
      </c>
      <c r="B123" s="138">
        <f>Model_Mthly!B123</f>
        <v>119</v>
      </c>
      <c r="C123" s="223"/>
      <c r="D123" s="139">
        <f>Model_Mthly!AQ123</f>
        <v>223907.30982782648</v>
      </c>
      <c r="E123" s="231">
        <f>IF(OR($H$3&lt;=0.0075,$H$3=""),0,SUM(Model_Mthly!AQ123,(SUM(Model_Mthly!Q124:Q135)/$E$3)*(1-cost_of_sale),-Model_Mthly!V123))</f>
        <v>41925437.335870154</v>
      </c>
      <c r="F123" s="231">
        <f>IF(OR($H$3&lt;=0.0075,$H$3=""),0,SUM(Model_Mthly!AQ123,(SUM(Model_Mthly!Q124:Q135)/$F$3)*(1-cost_of_sale),-Model_Mthly!V123))</f>
        <v>40273409.259706765</v>
      </c>
      <c r="G123" s="231">
        <f>IF(OR($H$3&lt;=0.0075,$H$3=""),0,SUM(Model_Mthly!AQ123,(SUM(Model_Mthly!Q124:Q135)/$G$3)*(1-cost_of_sale),-Model_Mthly!V123))</f>
        <v>38727963.640070051</v>
      </c>
      <c r="H123" s="232">
        <f>IF(OR($H$3&lt;=0.0075,$H$3=""),0,SUM(Model_Mthly!AQ123,(SUM(Model_Mthly!Q124:Q135)/$H$3)*(1-cost_of_sale),-Model_Mthly!V123))</f>
        <v>37279108.371660635</v>
      </c>
      <c r="I123" s="231">
        <f>IF(OR($H$3&lt;=0.0075,$H$3=""),0,SUM(Model_Mthly!AQ123,(SUM(Model_Mthly!Q124:Q135)/$I$3)*(1-cost_of_sale),-Model_Mthly!V123))</f>
        <v>35918062.513457842</v>
      </c>
      <c r="J123" s="231">
        <f>IF(OR($H$3&lt;=0.0075,$H$3=""),0,SUM(Model_Mthly!AQ123,(SUM(Model_Mthly!Q124:Q135)/$J$3)*(1-cost_of_sale),-Model_Mthly!V123))</f>
        <v>34637078.176325805</v>
      </c>
      <c r="K123" s="231">
        <f>IF(OR($H$3&lt;=0.0075,$H$3=""),0,SUM(Model_Mthly!AQ123,(SUM(Model_Mthly!Q124:Q135)/$K$3)*(1-cost_of_sale),-Model_Mthly!V123))</f>
        <v>33429292.944172744</v>
      </c>
      <c r="L123" s="160"/>
      <c r="M123" s="302">
        <f>IF(OR($H$3&lt;=0.0075,$H$3="",down_payment&lt;=0),"N/A",IRR(($D$4:D122,E123),))</f>
        <v>1.7673588917303525E-2</v>
      </c>
      <c r="N123" s="288">
        <f>IF(OR($H$3&lt;=0.0075,$H$3="",down_payment&lt;=0),"N/A",IRR(($D$4:D122,F123),))</f>
        <v>1.744286095736855E-2</v>
      </c>
      <c r="O123" s="288">
        <f>IF(OR($H$3&lt;=0.0075,$H$3="",down_payment&lt;=0),"N/A",IRR(($D$4:D122,G123),))</f>
        <v>1.7220503626274104E-2</v>
      </c>
      <c r="P123" s="303">
        <f>IF(OR($H$3&lt;=0.0075,$H$3="",down_payment&lt;=0),"N/A",IRR(($D$4:D122,H123),))</f>
        <v>1.700596719604559E-2</v>
      </c>
      <c r="Q123" s="288">
        <f>IF(OR($H$3&lt;=0.0075,$H$3="",down_payment&lt;=0),"N/A",IRR(($D$4:D122,I123),))</f>
        <v>1.6798753592646327E-2</v>
      </c>
      <c r="R123" s="288">
        <f>IF(OR($H$3&lt;=0.0075,$H$3="",down_payment&lt;=0),"N/A",IRR(($D$4:D122,J123),))</f>
        <v>1.6598410157205808E-2</v>
      </c>
      <c r="S123" s="288">
        <f>IF(OR($H$3&lt;=0.0075,$H$3="",down_payment&lt;=0),"N/A",IRR(($D$4:D122,K123),))</f>
        <v>1.6404524318941415E-2</v>
      </c>
      <c r="T123" s="233"/>
      <c r="U123" s="304">
        <f t="shared" si="25"/>
        <v>0.23396273403584056</v>
      </c>
      <c r="V123" s="304">
        <f t="shared" si="26"/>
        <v>0.23060973418559927</v>
      </c>
      <c r="W123" s="304">
        <f t="shared" si="27"/>
        <v>0.2273862832738649</v>
      </c>
      <c r="X123" s="305">
        <f t="shared" si="28"/>
        <v>0.22428354782714499</v>
      </c>
      <c r="Y123" s="304">
        <f t="shared" si="29"/>
        <v>0.22129354636150134</v>
      </c>
      <c r="Z123" s="304">
        <f t="shared" si="30"/>
        <v>0.21840904441942044</v>
      </c>
      <c r="AA123" s="304">
        <f t="shared" si="31"/>
        <v>0.21562346519046804</v>
      </c>
      <c r="AB123" s="103"/>
      <c r="AC123" s="149">
        <f>SUM(Model_Mthly!$Q123,-IF(AND(leveraged_property,B123&lt;=amort_period),-PMT(AC$3/12,amort_period,loan_amount),0))</f>
        <v>228290.76798799558</v>
      </c>
      <c r="AD123" s="149">
        <f>AD122+IF(AND(leveraged_property,$B123&lt;=amort_period),PPMT(AD$3/12,$B123,amort_period,loan_amount),0)</f>
        <v>7687755.4857486552</v>
      </c>
      <c r="AE123" s="149">
        <f ca="1">SUM(AC123,Model_Mthly!$AA123,-AD123)</f>
        <v>37455048.60293135</v>
      </c>
      <c r="AF123" s="149">
        <f>SUM(Model_Mthly!$Q123,-IF(AND(leveraged_property,B123&lt;=amort_period),-PMT(AF$3/12,amort_period,loan_amount),0))</f>
        <v>226849.21076963859</v>
      </c>
      <c r="AG123" s="149">
        <f>AG122+IF(AND(leveraged_property,$B123&lt;=amort_period),PPMT(AG$3/12,$B123,amort_period,loan_amount),0)</f>
        <v>7746218.2714598747</v>
      </c>
      <c r="AH123" s="149">
        <f ca="1">SUM(AF123,Model_Mthly!$AA123,-AG123)</f>
        <v>37395144.260001771</v>
      </c>
      <c r="AI123" s="149">
        <f>SUM(Model_Mthly!$Q123,-IF(AND(leveraged_property,B123&lt;=amort_period),-PMT(AI$3/12,amort_period,loan_amount),0))</f>
        <v>225387.91325231188</v>
      </c>
      <c r="AJ123" s="149">
        <f>AJ122+IF(AND(leveraged_property,$B123&lt;=amort_period),PPMT(AJ$3/12,$B123,amort_period,loan_amount),0)</f>
        <v>7803406.0213421499</v>
      </c>
      <c r="AK123" s="149">
        <f ca="1">SUM(AI123,Model_Mthly!$AA123,-AJ123)</f>
        <v>37336495.212602168</v>
      </c>
      <c r="AL123" s="229">
        <f>SUM(Model_Mthly!$Q123,-IF(AND(leveraged_property,B123&lt;=amort_period),-PMT(AL$3/12,amort_period,loan_amount),0))</f>
        <v>223907.30982782648</v>
      </c>
      <c r="AM123" s="229">
        <f>AM122+IF(AND(leveraged_property,$B123&lt;=amort_period),PPMT(AM$3/12,$B123,amort_period,loan_amount),0)</f>
        <v>7859312.2588591995</v>
      </c>
      <c r="AN123" s="229">
        <f ca="1">SUM(AL123,Model_Mthly!$AA123,-AM123)</f>
        <v>37279108.371660635</v>
      </c>
      <c r="AO123" s="149">
        <f>SUM(Model_Mthly!$Q123,-IF(AND(leveraged_property,B123&lt;=amort_period),-PMT(AO$3/12,amort_period,loan_amount),0))</f>
        <v>222407.84359365428</v>
      </c>
      <c r="AP123" s="162">
        <f>AP122+IF(AND(leveraged_property,$B123&lt;=amort_period),PPMT(AP$3/12,$B123,amort_period,loan_amount),0)</f>
        <v>7913932.6301876511</v>
      </c>
      <c r="AQ123" s="149">
        <f ca="1">SUM(AO123,Model_Mthly!$AA123,-AP123)</f>
        <v>37222988.534098014</v>
      </c>
      <c r="AR123" s="149">
        <f>SUM(Model_Mthly!$Q123,-IF(AND(leveraged_property,B123&lt;=amort_period),-PMT(AR$3/12,amort_period,loan_amount),0))</f>
        <v>220889.9650662796</v>
      </c>
      <c r="AS123" s="162">
        <f>AS122+IF(AND(leveraged_property,$B123&lt;=amort_period),PPMT(AS$3/12,$B123,amort_period,loan_amount),0)</f>
        <v>7967264.8472074205</v>
      </c>
      <c r="AT123" s="149">
        <f ca="1">SUM(AR123,Model_Mthly!$AA123,-AS123)</f>
        <v>37168138.438550867</v>
      </c>
      <c r="AU123" s="149">
        <f>SUM(Model_Mthly!$Q123,-IF(AND(leveraged_property,B123&lt;=amort_period),-PMT(AU$3/12,amort_period,loan_amount),0))</f>
        <v>219354.13091528433</v>
      </c>
      <c r="AV123" s="162">
        <f>AV122+IF(AND(leveraged_property,$B123&lt;=amort_period),PPMT(AV$3/12,$B123,amort_period,loan_amount),0)</f>
        <v>8019308.6245532548</v>
      </c>
      <c r="AW123" s="149">
        <f ca="1">SUM(AU123,Model_Mthly!$AA123,-AV123)</f>
        <v>37114558.827054039</v>
      </c>
      <c r="AX123" s="103"/>
      <c r="AY123" s="288">
        <f ca="1">IF(AND(leveraged_property,down_payment&gt;0),IRR(($AC$4:AC122,AE123),),"N/A")</f>
        <v>1.7281239501513862E-2</v>
      </c>
      <c r="AZ123" s="288">
        <f ca="1">IF(AND(leveraged_property,down_payment&gt;0),IRR(($AF$4:AF122,AH123),),"N/A")</f>
        <v>1.7190352452775018E-2</v>
      </c>
      <c r="BA123" s="288">
        <f ca="1">IF(AND(leveraged_property,down_payment&gt;0),IRR(($AI$4:AI122,AK123),),"N/A")</f>
        <v>1.7098584147647419E-2</v>
      </c>
      <c r="BB123" s="303">
        <f ca="1">IF(AND(leveraged_property,down_payment&gt;0),IRR(($AL$4:AL122,AN123),),"N/A")</f>
        <v>1.700596719604559E-2</v>
      </c>
      <c r="BC123" s="288">
        <f ca="1">IF(AND(leveraged_property,down_payment&gt;0),IRR(($AO$4:AO122,AQ123),),"N/A")</f>
        <v>1.6912534400092147E-2</v>
      </c>
      <c r="BD123" s="288">
        <f ca="1">IF(AND(leveraged_property,down_payment&gt;0),IRR(($AR$4:AR122,AT123),),"N/A")</f>
        <v>1.6818318670109873E-2</v>
      </c>
      <c r="BE123" s="288">
        <f ca="1">IF(AND(leveraged_property,down_payment&gt;0),IRR(($AU$4:AU122,AW123),),"N/A")</f>
        <v>1.6723352943241027E-2</v>
      </c>
      <c r="BF123" s="103"/>
      <c r="BG123" s="304">
        <f ca="1">IF(AND(leveraged_property,down_payment&gt;0),((1+AY123)^12)-1,"N/A")</f>
        <v>0.22826598475724658</v>
      </c>
      <c r="BH123" s="304">
        <f ca="1">IF(AND(leveraged_property,down_payment&gt;0),((1+AZ123)^12)-1,"N/A")</f>
        <v>0.22694978671266086</v>
      </c>
      <c r="BI123" s="304">
        <f ca="1">IF(AND(leveraged_property,down_payment&gt;0),((1+BA123)^12)-1,"N/A")</f>
        <v>0.22562213845447143</v>
      </c>
      <c r="BJ123" s="304">
        <f ca="1">IF(AND(leveraged_property,down_payment&gt;0),((1+BB123)^12)-1,"N/A")</f>
        <v>0.22428354782714499</v>
      </c>
      <c r="BK123" s="304">
        <f ca="1">IF(AND(leveraged_property,down_payment&gt;0),((1+BC123)^12)-1,"N/A")</f>
        <v>0.22293452384079648</v>
      </c>
      <c r="BL123" s="304">
        <f ca="1">IF(AND(leveraged_property,down_payment&gt;0),((1+BD123)^12)-1,"N/A")</f>
        <v>0.22157557540644657</v>
      </c>
      <c r="BM123" s="304">
        <f ca="1">IF(AND(leveraged_property,down_payment&gt;0),((1+BE123)^12)-1,"N/A")</f>
        <v>0.22020721011815647</v>
      </c>
    </row>
    <row r="124" spans="1:65">
      <c r="A124" s="137">
        <f>Model_Mthly!A124</f>
        <v>43814</v>
      </c>
      <c r="B124" s="138">
        <f>Model_Mthly!B124</f>
        <v>120</v>
      </c>
      <c r="C124" s="234"/>
      <c r="D124" s="183">
        <f>Model_Mthly!AQ124</f>
        <v>223907.30982782648</v>
      </c>
      <c r="E124" s="202">
        <f>IF(OR($H$3&lt;=0.0075,$H$3=""),0,SUM(Model_Mthly!AQ124,(SUM(Model_Mthly!Q125:Q136)/$E$3)*(1-cost_of_sale),-Model_Mthly!V124))</f>
        <v>42571210.611224905</v>
      </c>
      <c r="F124" s="202">
        <f>IF(OR($H$3&lt;=0.0075,$H$3=""),0,SUM(Model_Mthly!AQ124,(SUM(Model_Mthly!Q125:Q136)/$F$3)*(1-cost_of_sale),-Model_Mthly!V124))</f>
        <v>40898254.029458858</v>
      </c>
      <c r="G124" s="202">
        <f>IF(OR($H$3&lt;=0.0075,$H$3=""),0,SUM(Model_Mthly!AQ124,(SUM(Model_Mthly!Q125:Q136)/$G$3)*(1-cost_of_sale),-Model_Mthly!V124))</f>
        <v>39333230.130387388</v>
      </c>
      <c r="H124" s="202">
        <f>IF(OR($H$3&lt;=0.0075,$H$3=""),0,SUM(Model_Mthly!AQ124,(SUM(Model_Mthly!Q125:Q136)/$H$3)*(1-cost_of_sale),-Model_Mthly!V124))</f>
        <v>37866020.225007892</v>
      </c>
      <c r="I124" s="202">
        <f>IF(OR($H$3&lt;=0.0075,$H$3=""),0,SUM(Model_Mthly!AQ124,(SUM(Model_Mthly!Q125:Q136)/$I$3)*(1-cost_of_sale),-Model_Mthly!V124))</f>
        <v>36487732.132075638</v>
      </c>
      <c r="J124" s="202">
        <f>IF(OR($H$3&lt;=0.0075,$H$3=""),0,SUM(Model_Mthly!AQ124,(SUM(Model_Mthly!Q125:Q136)/$J$3)*(1-cost_of_sale),-Model_Mthly!V124))</f>
        <v>35190519.809315868</v>
      </c>
      <c r="K124" s="202">
        <f>IF(OR($H$3&lt;=0.0075,$H$3=""),0,SUM(Model_Mthly!AQ124,(SUM(Model_Mthly!Q125:Q136)/$K$3)*(1-cost_of_sale),-Model_Mthly!V124))</f>
        <v>33967433.904999509</v>
      </c>
      <c r="L124" s="198"/>
      <c r="M124" s="289">
        <f>IF(OR($H$3&lt;=0.0075,$H$3="",down_payment&lt;=0),"N/A",IRR(($D$4:D123,E124),))</f>
        <v>1.7691401489287741E-2</v>
      </c>
      <c r="N124" s="289">
        <f>IF(OR($H$3&lt;=0.0075,$H$3="",down_payment&lt;=0),"N/A",IRR(($D$4:D123,F124),))</f>
        <v>1.7463645529838527E-2</v>
      </c>
      <c r="O124" s="289">
        <f>IF(OR($H$3&lt;=0.0075,$H$3="",down_payment&lt;=0),"N/A",IRR(($D$4:D123,G124),))</f>
        <v>1.7244177855530934E-2</v>
      </c>
      <c r="P124" s="289">
        <f>IF(OR($H$3&lt;=0.0075,$H$3="",down_payment&lt;=0),"N/A",IRR(($D$4:D123,H124),))</f>
        <v>1.7032453903983016E-2</v>
      </c>
      <c r="Q124" s="289">
        <f>IF(OR($H$3&lt;=0.0075,$H$3="",down_payment&lt;=0),"N/A",IRR(($D$4:D123,I124),))</f>
        <v>1.6827980289684009E-2</v>
      </c>
      <c r="R124" s="289">
        <f>IF(OR($H$3&lt;=0.0075,$H$3="",down_payment&lt;=0),"N/A",IRR(($D$4:D123,J124),))</f>
        <v>1.6630308622322537E-2</v>
      </c>
      <c r="S124" s="289">
        <f>IF(OR($H$3&lt;=0.0075,$H$3="",down_payment&lt;=0),"N/A",IRR(($D$4:D123,K124),))</f>
        <v>1.6439030228513396E-2</v>
      </c>
      <c r="T124" s="235"/>
      <c r="U124" s="291">
        <f t="shared" si="25"/>
        <v>0.23422193894820675</v>
      </c>
      <c r="V124" s="291">
        <f t="shared" si="26"/>
        <v>0.2309114384542621</v>
      </c>
      <c r="W124" s="291">
        <f t="shared" si="27"/>
        <v>0.2277291132963537</v>
      </c>
      <c r="X124" s="291">
        <f t="shared" si="28"/>
        <v>0.22466622270365577</v>
      </c>
      <c r="Y124" s="291">
        <f t="shared" si="29"/>
        <v>0.22171486890759673</v>
      </c>
      <c r="Z124" s="291">
        <f t="shared" si="30"/>
        <v>0.21886789329410106</v>
      </c>
      <c r="AA124" s="291">
        <f t="shared" si="31"/>
        <v>0.21611878797287987</v>
      </c>
      <c r="AB124" s="199"/>
      <c r="AC124" s="186">
        <f>SUM(Model_Mthly!$Q124,-IF(AND(leveraged_property,B124&lt;=amort_period),-PMT(AC$3/12,amort_period,loan_amount),0))</f>
        <v>228290.76798799558</v>
      </c>
      <c r="AD124" s="186">
        <f>AD123+IF(AND(leveraged_property,$B124&lt;=amort_period),PPMT(AD$3/12,$B124,amort_period,loan_amount),0)</f>
        <v>7668629.6875786148</v>
      </c>
      <c r="AE124" s="186">
        <f ca="1">SUM(AC124,Model_Mthly!$AA124,-AD124)</f>
        <v>38043168.147173792</v>
      </c>
      <c r="AF124" s="186">
        <f>SUM(Model_Mthly!$Q124,-IF(AND(leveraged_property,B124&lt;=amort_period),-PMT(AF$3/12,amort_period,loan_amount),0))</f>
        <v>226849.21076963859</v>
      </c>
      <c r="AG124" s="186">
        <f>AG123+IF(AND(leveraged_property,$B124&lt;=amort_period),PPMT(AG$3/12,$B124,amort_period,loan_amount),0)</f>
        <v>7727496.1267381376</v>
      </c>
      <c r="AH124" s="186">
        <f ca="1">SUM(AF124,Model_Mthly!$AA124,-AG124)</f>
        <v>37982860.150795907</v>
      </c>
      <c r="AI124" s="186">
        <f>SUM(Model_Mthly!$Q124,-IF(AND(leveraged_property,B124&lt;=amort_period),-PMT(AI$3/12,amort_period,loan_amount),0))</f>
        <v>225387.91325231188</v>
      </c>
      <c r="AJ124" s="186">
        <f>AJ123+IF(AND(leveraged_property,$B124&lt;=amort_period),PPMT(AJ$3/12,$B124,amort_period,loan_amount),0)</f>
        <v>7785086.5709820418</v>
      </c>
      <c r="AK124" s="186">
        <f ca="1">SUM(AI124,Model_Mthly!$AA124,-AJ124)</f>
        <v>37923808.409034677</v>
      </c>
      <c r="AL124" s="186">
        <f>SUM(Model_Mthly!$Q124,-IF(AND(leveraged_property,B124&lt;=amort_period),-PMT(AL$3/12,amort_period,loan_amount),0))</f>
        <v>223907.30982782648</v>
      </c>
      <c r="AM124" s="186">
        <f>AM123+IF(AND(leveraged_property,$B124&lt;=amort_period),PPMT(AM$3/12,$B124,amort_period,loan_amount),0)</f>
        <v>7841394.1515843393</v>
      </c>
      <c r="AN124" s="186">
        <f ca="1">SUM(AL124,Model_Mthly!$AA124,-AM124)</f>
        <v>37866020.225007892</v>
      </c>
      <c r="AO124" s="186">
        <f>SUM(Model_Mthly!$Q124,-IF(AND(leveraged_property,B124&lt;=amort_period),-PMT(AO$3/12,amort_period,loan_amount),0))</f>
        <v>222407.84359365428</v>
      </c>
      <c r="AP124" s="186">
        <f>AP123+IF(AND(leveraged_property,$B124&lt;=amort_period),PPMT(AP$3/12,$B124,amort_period,loan_amount),0)</f>
        <v>7896414.1360118296</v>
      </c>
      <c r="AQ124" s="186">
        <f ca="1">SUM(AO124,Model_Mthly!$AA124,-AP124)</f>
        <v>37809500.774346232</v>
      </c>
      <c r="AR124" s="186">
        <f>SUM(Model_Mthly!$Q124,-IF(AND(leveraged_property,B124&lt;=amort_period),-PMT(AR$3/12,amort_period,loan_amount),0))</f>
        <v>220889.9650662796</v>
      </c>
      <c r="AS124" s="186">
        <f>AS123+IF(AND(leveraged_property,$B124&lt;=amort_period),PPMT(AS$3/12,$B124,amort_period,loan_amount),0)</f>
        <v>7950143.8715539454</v>
      </c>
      <c r="AT124" s="186">
        <f ca="1">SUM(AR124,Model_Mthly!$AA124,-AS124)</f>
        <v>37754253.160276741</v>
      </c>
      <c r="AU124" s="186">
        <f>SUM(Model_Mthly!$Q124,-IF(AND(leveraged_property,B124&lt;=amort_period),-PMT(AU$3/12,amort_period,loan_amount),0))</f>
        <v>219354.13091528433</v>
      </c>
      <c r="AV124" s="186">
        <f>AV123+IF(AND(leveraged_property,$B124&lt;=amort_period),PPMT(AV$3/12,$B124,amort_period,loan_amount),0)</f>
        <v>8002582.7229322959</v>
      </c>
      <c r="AW124" s="186">
        <f ca="1">SUM(AU124,Model_Mthly!$AA124,-AV124)</f>
        <v>37700278.474747397</v>
      </c>
      <c r="AX124" s="199"/>
      <c r="AY124" s="289">
        <f ca="1">IF(AND(leveraged_property,down_payment&gt;0),IRR(($AC$4:AC123,AE124),),"N/A")</f>
        <v>1.730617943347728E-2</v>
      </c>
      <c r="AZ124" s="289">
        <f ca="1">IF(AND(leveraged_property,down_payment&gt;0),IRR(($AF$4:AF123,AH124),),"N/A")</f>
        <v>1.7215804835768473E-2</v>
      </c>
      <c r="BA124" s="289">
        <f ca="1">IF(AND(leveraged_property,down_payment&gt;0),IRR(($AI$4:AI123,AK124),),"N/A")</f>
        <v>1.7124552143500459E-2</v>
      </c>
      <c r="BB124" s="289">
        <f ca="1">IF(AND(leveraged_property,down_payment&gt;0),IRR(($AL$4:AL123,AN124),),"N/A")</f>
        <v>1.7032453903983016E-2</v>
      </c>
      <c r="BC124" s="289">
        <f ca="1">IF(AND(leveraged_property,down_payment&gt;0),IRR(($AO$4:AO123,AQ124),),"N/A")</f>
        <v>1.6939542857640481E-2</v>
      </c>
      <c r="BD124" s="289">
        <f ca="1">IF(AND(leveraged_property,down_payment&gt;0),IRR(($AR$4:AR123,AT124),),"N/A")</f>
        <v>1.6845851854112786E-2</v>
      </c>
      <c r="BE124" s="289">
        <f ca="1">IF(AND(leveraged_property,down_payment&gt;0),IRR(($AU$4:AU123,AW124),),"N/A")</f>
        <v>1.675141377097451E-2</v>
      </c>
      <c r="BF124" s="199"/>
      <c r="BG124" s="291">
        <f ca="1">IF(AND(leveraged_property,down_payment&gt;0),((1+AY124)^12)-1,"N/A")</f>
        <v>0.22862738335294819</v>
      </c>
      <c r="BH124" s="291">
        <f ca="1">IF(AND(leveraged_property,down_payment&gt;0),((1+AZ124)^12)-1,"N/A")</f>
        <v>0.22731824983008475</v>
      </c>
      <c r="BI124" s="291">
        <f ca="1">IF(AND(leveraged_property,down_payment&gt;0),((1+BA124)^12)-1,"N/A")</f>
        <v>0.22599769402856329</v>
      </c>
      <c r="BJ124" s="291">
        <f ca="1">IF(AND(leveraged_property,down_payment&gt;0),((1+BB124)^12)-1,"N/A")</f>
        <v>0.22466622270365577</v>
      </c>
      <c r="BK124" s="291">
        <f ca="1">IF(AND(leveraged_property,down_payment&gt;0),((1+BC124)^12)-1,"N/A")</f>
        <v>0.22332434380240795</v>
      </c>
      <c r="BL124" s="291">
        <f ca="1">IF(AND(leveraged_property,down_payment&gt;0),((1+BD124)^12)-1,"N/A")</f>
        <v>0.22197256520031328</v>
      </c>
      <c r="BM124" s="291">
        <f ca="1">IF(AND(leveraged_property,down_payment&gt;0),((1+BE124)^12)-1,"N/A")</f>
        <v>0.22061139348465897</v>
      </c>
    </row>
    <row r="125" spans="1:65">
      <c r="A125" s="236"/>
      <c r="B125" s="237"/>
      <c r="C125" s="237"/>
      <c r="D125" s="237"/>
      <c r="AC125" s="165"/>
      <c r="AD125" s="165"/>
      <c r="AE125" s="165"/>
      <c r="AF125" s="165"/>
      <c r="AG125" s="165"/>
      <c r="AH125" s="165"/>
      <c r="AI125" s="165"/>
      <c r="AJ125" s="165"/>
      <c r="AK125" s="165"/>
      <c r="AL125" s="165"/>
      <c r="AM125" s="165"/>
      <c r="AN125" s="165"/>
      <c r="AO125" s="165"/>
      <c r="AP125" s="165"/>
      <c r="AQ125" s="165"/>
      <c r="AR125" s="165"/>
      <c r="AS125" s="165"/>
      <c r="AT125" s="165"/>
      <c r="AU125" s="165"/>
      <c r="AV125" s="165"/>
      <c r="AW125" s="165"/>
    </row>
    <row r="126" spans="1:65">
      <c r="A126" s="236"/>
      <c r="B126" s="237"/>
      <c r="C126" s="237"/>
      <c r="D126" s="237"/>
      <c r="AC126" s="165"/>
      <c r="AD126" s="165"/>
      <c r="AE126" s="165"/>
      <c r="AF126" s="165"/>
      <c r="AG126" s="165"/>
      <c r="AH126" s="165"/>
      <c r="AI126" s="165"/>
      <c r="AJ126" s="165"/>
      <c r="AK126" s="165"/>
      <c r="AL126" s="165"/>
      <c r="AM126" s="165"/>
      <c r="AN126" s="165"/>
      <c r="AO126" s="165"/>
      <c r="AP126" s="165"/>
      <c r="AQ126" s="165"/>
      <c r="AR126" s="165"/>
      <c r="AS126" s="165"/>
      <c r="AT126" s="165"/>
      <c r="AU126" s="165"/>
      <c r="AV126" s="165"/>
      <c r="AW126" s="165"/>
    </row>
    <row r="127" spans="1:65">
      <c r="A127" s="236"/>
      <c r="B127" s="237"/>
      <c r="C127" s="237"/>
      <c r="D127" s="237"/>
      <c r="AC127" s="165"/>
      <c r="AD127" s="165"/>
      <c r="AE127" s="165"/>
      <c r="AF127" s="165"/>
      <c r="AG127" s="165"/>
      <c r="AH127" s="165"/>
      <c r="AI127" s="165"/>
      <c r="AJ127" s="165"/>
      <c r="AK127" s="165"/>
      <c r="AL127" s="165"/>
      <c r="AM127" s="165"/>
      <c r="AN127" s="165"/>
      <c r="AO127" s="165"/>
      <c r="AP127" s="165"/>
      <c r="AQ127" s="165"/>
      <c r="AR127" s="165"/>
      <c r="AS127" s="165"/>
      <c r="AT127" s="165"/>
      <c r="AU127" s="165"/>
      <c r="AV127" s="165"/>
      <c r="AW127" s="165"/>
    </row>
    <row r="128" spans="1:65">
      <c r="A128" s="236"/>
      <c r="B128" s="237"/>
      <c r="C128" s="237"/>
      <c r="D128" s="237"/>
      <c r="AC128" s="165"/>
      <c r="AD128" s="165"/>
      <c r="AE128" s="165"/>
      <c r="AF128" s="165"/>
      <c r="AG128" s="165"/>
      <c r="AH128" s="165"/>
      <c r="AI128" s="165"/>
      <c r="AJ128" s="165"/>
      <c r="AK128" s="165"/>
      <c r="AL128" s="165"/>
      <c r="AM128" s="165"/>
      <c r="AN128" s="165"/>
      <c r="AO128" s="165"/>
      <c r="AP128" s="165"/>
      <c r="AQ128" s="165"/>
      <c r="AR128" s="165"/>
      <c r="AS128" s="165"/>
      <c r="AT128" s="165"/>
      <c r="AU128" s="165"/>
      <c r="AV128" s="165"/>
      <c r="AW128" s="165"/>
    </row>
    <row r="129" spans="1:49">
      <c r="A129" s="236"/>
      <c r="B129" s="237"/>
      <c r="C129" s="237"/>
      <c r="D129" s="237"/>
      <c r="AC129" s="165"/>
      <c r="AD129" s="165"/>
      <c r="AE129" s="165"/>
      <c r="AF129" s="165"/>
      <c r="AG129" s="165"/>
      <c r="AH129" s="165"/>
      <c r="AI129" s="165"/>
      <c r="AJ129" s="165"/>
      <c r="AK129" s="165"/>
      <c r="AL129" s="165"/>
      <c r="AM129" s="165"/>
      <c r="AN129" s="165"/>
      <c r="AO129" s="165"/>
      <c r="AP129" s="165"/>
      <c r="AQ129" s="165"/>
      <c r="AR129" s="165"/>
      <c r="AS129" s="165"/>
      <c r="AT129" s="165"/>
      <c r="AU129" s="165"/>
      <c r="AV129" s="165"/>
      <c r="AW129" s="165"/>
    </row>
    <row r="130" spans="1:49">
      <c r="A130" s="236"/>
      <c r="B130" s="237"/>
      <c r="C130" s="237"/>
      <c r="D130" s="237"/>
      <c r="AC130" s="165"/>
      <c r="AD130" s="165"/>
      <c r="AE130" s="165"/>
      <c r="AF130" s="165"/>
      <c r="AG130" s="165"/>
      <c r="AH130" s="165"/>
      <c r="AI130" s="165"/>
      <c r="AJ130" s="165"/>
      <c r="AK130" s="165"/>
      <c r="AL130" s="165"/>
      <c r="AM130" s="165"/>
      <c r="AN130" s="165"/>
      <c r="AO130" s="165"/>
      <c r="AP130" s="165"/>
      <c r="AQ130" s="165"/>
      <c r="AR130" s="165"/>
      <c r="AS130" s="165"/>
      <c r="AT130" s="165"/>
      <c r="AU130" s="165"/>
      <c r="AV130" s="165"/>
      <c r="AW130" s="165"/>
    </row>
    <row r="131" spans="1:49">
      <c r="A131" s="236"/>
      <c r="B131" s="237"/>
      <c r="C131" s="237"/>
      <c r="D131" s="237"/>
      <c r="AC131" s="165"/>
      <c r="AD131" s="165"/>
      <c r="AE131" s="165"/>
      <c r="AF131" s="165"/>
      <c r="AG131" s="165"/>
      <c r="AH131" s="165"/>
      <c r="AI131" s="165"/>
      <c r="AJ131" s="165"/>
      <c r="AK131" s="165"/>
      <c r="AL131" s="165"/>
      <c r="AM131" s="165"/>
      <c r="AN131" s="165"/>
      <c r="AO131" s="165"/>
      <c r="AP131" s="165"/>
      <c r="AQ131" s="165"/>
      <c r="AR131" s="165"/>
      <c r="AS131" s="165"/>
      <c r="AT131" s="165"/>
      <c r="AU131" s="165"/>
      <c r="AV131" s="165"/>
      <c r="AW131" s="165"/>
    </row>
    <row r="132" spans="1:49">
      <c r="A132" s="236"/>
      <c r="B132" s="237"/>
      <c r="C132" s="237"/>
      <c r="D132" s="237"/>
      <c r="AC132" s="165"/>
      <c r="AD132" s="165"/>
      <c r="AE132" s="165"/>
      <c r="AF132" s="165"/>
      <c r="AG132" s="165"/>
      <c r="AH132" s="165"/>
      <c r="AI132" s="165"/>
      <c r="AJ132" s="165"/>
      <c r="AK132" s="165"/>
      <c r="AL132" s="165"/>
      <c r="AM132" s="165"/>
      <c r="AN132" s="165"/>
      <c r="AO132" s="165"/>
      <c r="AP132" s="165"/>
      <c r="AQ132" s="165"/>
      <c r="AR132" s="165"/>
      <c r="AS132" s="165"/>
      <c r="AT132" s="165"/>
      <c r="AU132" s="165"/>
      <c r="AV132" s="165"/>
      <c r="AW132" s="165"/>
    </row>
    <row r="133" spans="1:49">
      <c r="A133" s="236"/>
      <c r="B133" s="237"/>
      <c r="C133" s="237"/>
      <c r="D133" s="237"/>
      <c r="AC133" s="165"/>
      <c r="AD133" s="165"/>
      <c r="AE133" s="165"/>
      <c r="AF133" s="165"/>
      <c r="AG133" s="165"/>
      <c r="AH133" s="165"/>
      <c r="AI133" s="165"/>
      <c r="AJ133" s="165"/>
      <c r="AK133" s="165"/>
      <c r="AL133" s="165"/>
      <c r="AM133" s="165"/>
      <c r="AN133" s="165"/>
      <c r="AO133" s="165"/>
      <c r="AP133" s="165"/>
      <c r="AQ133" s="165"/>
      <c r="AR133" s="165"/>
      <c r="AS133" s="165"/>
      <c r="AT133" s="165"/>
      <c r="AU133" s="165"/>
      <c r="AV133" s="165"/>
      <c r="AW133" s="165"/>
    </row>
    <row r="134" spans="1:49">
      <c r="A134" s="236"/>
      <c r="B134" s="237"/>
      <c r="C134" s="237"/>
      <c r="D134" s="237"/>
      <c r="AC134" s="165"/>
      <c r="AD134" s="165"/>
      <c r="AE134" s="165"/>
      <c r="AF134" s="165"/>
      <c r="AG134" s="165"/>
      <c r="AH134" s="165"/>
      <c r="AI134" s="165"/>
      <c r="AJ134" s="165"/>
      <c r="AK134" s="165"/>
      <c r="AL134" s="165"/>
      <c r="AM134" s="165"/>
      <c r="AN134" s="165"/>
      <c r="AO134" s="165"/>
      <c r="AP134" s="165"/>
      <c r="AQ134" s="165"/>
      <c r="AR134" s="165"/>
      <c r="AS134" s="165"/>
      <c r="AT134" s="165"/>
      <c r="AU134" s="165"/>
      <c r="AV134" s="165"/>
      <c r="AW134" s="165"/>
    </row>
    <row r="135" spans="1:49">
      <c r="A135" s="236"/>
      <c r="B135" s="237"/>
      <c r="C135" s="237"/>
      <c r="D135" s="237"/>
      <c r="AC135" s="165"/>
      <c r="AD135" s="165"/>
      <c r="AE135" s="165"/>
      <c r="AF135" s="165"/>
      <c r="AG135" s="165"/>
      <c r="AH135" s="165"/>
      <c r="AI135" s="165"/>
      <c r="AJ135" s="165"/>
      <c r="AK135" s="165"/>
      <c r="AL135" s="165"/>
      <c r="AM135" s="165"/>
      <c r="AN135" s="165"/>
      <c r="AO135" s="165"/>
      <c r="AP135" s="165"/>
      <c r="AQ135" s="165"/>
      <c r="AR135" s="165"/>
      <c r="AS135" s="165"/>
      <c r="AT135" s="165"/>
      <c r="AU135" s="165"/>
      <c r="AV135" s="165"/>
      <c r="AW135" s="165"/>
    </row>
    <row r="136" spans="1:49">
      <c r="A136" s="236"/>
      <c r="B136" s="237"/>
      <c r="C136" s="237"/>
      <c r="D136" s="237"/>
      <c r="AC136" s="165"/>
      <c r="AD136" s="165"/>
      <c r="AE136" s="165"/>
      <c r="AF136" s="165"/>
      <c r="AG136" s="165"/>
      <c r="AH136" s="165"/>
      <c r="AI136" s="165"/>
      <c r="AJ136" s="165"/>
      <c r="AK136" s="165"/>
      <c r="AL136" s="165"/>
      <c r="AM136" s="165"/>
      <c r="AN136" s="165"/>
      <c r="AO136" s="165"/>
      <c r="AP136" s="165"/>
      <c r="AQ136" s="165"/>
      <c r="AR136" s="165"/>
      <c r="AS136" s="165"/>
      <c r="AT136" s="165"/>
      <c r="AU136" s="165"/>
      <c r="AV136" s="165"/>
      <c r="AW136" s="165"/>
    </row>
    <row r="137" spans="1:49">
      <c r="A137" s="236"/>
      <c r="B137" s="237"/>
      <c r="C137" s="237"/>
      <c r="D137" s="237"/>
      <c r="AC137" s="165"/>
      <c r="AD137" s="165"/>
      <c r="AE137" s="165"/>
      <c r="AF137" s="165"/>
      <c r="AG137" s="165"/>
      <c r="AH137" s="165"/>
      <c r="AI137" s="165"/>
      <c r="AJ137" s="165"/>
      <c r="AK137" s="165"/>
      <c r="AL137" s="165"/>
      <c r="AM137" s="165"/>
      <c r="AN137" s="165"/>
      <c r="AO137" s="165"/>
      <c r="AP137" s="165"/>
      <c r="AQ137" s="165"/>
      <c r="AR137" s="165"/>
      <c r="AS137" s="165"/>
      <c r="AT137" s="165"/>
      <c r="AU137" s="165"/>
      <c r="AV137" s="165"/>
      <c r="AW137" s="165"/>
    </row>
    <row r="138" spans="1:49">
      <c r="A138" s="236"/>
      <c r="B138" s="237"/>
      <c r="C138" s="237"/>
      <c r="D138" s="237"/>
      <c r="AC138" s="165"/>
      <c r="AD138" s="165"/>
      <c r="AE138" s="165"/>
      <c r="AF138" s="165"/>
      <c r="AG138" s="165"/>
      <c r="AH138" s="165"/>
      <c r="AI138" s="165"/>
      <c r="AJ138" s="165"/>
      <c r="AK138" s="165"/>
      <c r="AL138" s="165"/>
      <c r="AM138" s="165"/>
      <c r="AN138" s="165"/>
      <c r="AO138" s="165"/>
      <c r="AP138" s="165"/>
      <c r="AQ138" s="165"/>
      <c r="AR138" s="165"/>
      <c r="AS138" s="165"/>
      <c r="AT138" s="165"/>
      <c r="AU138" s="165"/>
      <c r="AV138" s="165"/>
      <c r="AW138" s="165"/>
    </row>
    <row r="139" spans="1:49">
      <c r="A139" s="236"/>
      <c r="B139" s="237"/>
      <c r="C139" s="237"/>
      <c r="D139" s="237"/>
      <c r="AC139" s="165"/>
      <c r="AD139" s="165"/>
      <c r="AE139" s="165"/>
      <c r="AF139" s="165"/>
      <c r="AG139" s="165"/>
      <c r="AH139" s="165"/>
      <c r="AI139" s="165"/>
      <c r="AJ139" s="165"/>
      <c r="AK139" s="165"/>
      <c r="AL139" s="165"/>
      <c r="AM139" s="165"/>
      <c r="AN139" s="165"/>
      <c r="AO139" s="165"/>
      <c r="AP139" s="165"/>
      <c r="AQ139" s="165"/>
      <c r="AR139" s="165"/>
      <c r="AS139" s="165"/>
      <c r="AT139" s="165"/>
      <c r="AU139" s="165"/>
      <c r="AV139" s="165"/>
      <c r="AW139" s="165"/>
    </row>
    <row r="140" spans="1:49">
      <c r="A140" s="236"/>
      <c r="B140" s="237"/>
      <c r="C140" s="237"/>
      <c r="D140" s="237"/>
      <c r="AC140" s="165"/>
      <c r="AD140" s="165"/>
      <c r="AE140" s="165"/>
      <c r="AF140" s="165"/>
      <c r="AG140" s="165"/>
      <c r="AH140" s="165"/>
      <c r="AI140" s="165"/>
      <c r="AJ140" s="165"/>
      <c r="AK140" s="165"/>
      <c r="AL140" s="165"/>
      <c r="AM140" s="165"/>
      <c r="AN140" s="165"/>
      <c r="AO140" s="165"/>
      <c r="AP140" s="165"/>
      <c r="AQ140" s="165"/>
      <c r="AR140" s="165"/>
      <c r="AS140" s="165"/>
      <c r="AT140" s="165"/>
      <c r="AU140" s="165"/>
      <c r="AV140" s="165"/>
      <c r="AW140" s="165"/>
    </row>
    <row r="141" spans="1:49">
      <c r="A141" s="236"/>
      <c r="B141" s="237"/>
      <c r="C141" s="237"/>
      <c r="D141" s="237"/>
      <c r="AC141" s="165"/>
      <c r="AD141" s="165"/>
      <c r="AE141" s="165"/>
      <c r="AF141" s="165"/>
      <c r="AG141" s="165"/>
      <c r="AH141" s="165"/>
      <c r="AI141" s="165"/>
      <c r="AJ141" s="165"/>
      <c r="AK141" s="165"/>
      <c r="AL141" s="165"/>
      <c r="AM141" s="165"/>
      <c r="AN141" s="165"/>
      <c r="AO141" s="165"/>
      <c r="AP141" s="165"/>
      <c r="AQ141" s="165"/>
      <c r="AR141" s="165"/>
      <c r="AS141" s="165"/>
      <c r="AT141" s="165"/>
      <c r="AU141" s="165"/>
      <c r="AV141" s="165"/>
      <c r="AW141" s="165"/>
    </row>
    <row r="142" spans="1:49">
      <c r="A142" s="236"/>
      <c r="B142" s="237"/>
      <c r="C142" s="237"/>
      <c r="D142" s="237"/>
      <c r="AC142" s="165"/>
      <c r="AD142" s="165"/>
      <c r="AE142" s="165"/>
      <c r="AF142" s="165"/>
      <c r="AG142" s="165"/>
      <c r="AH142" s="165"/>
      <c r="AI142" s="165"/>
      <c r="AJ142" s="165"/>
      <c r="AK142" s="165"/>
      <c r="AL142" s="165"/>
      <c r="AM142" s="165"/>
      <c r="AN142" s="165"/>
      <c r="AO142" s="165"/>
      <c r="AP142" s="165"/>
      <c r="AQ142" s="165"/>
      <c r="AR142" s="165"/>
      <c r="AS142" s="165"/>
      <c r="AT142" s="165"/>
      <c r="AU142" s="165"/>
      <c r="AV142" s="165"/>
      <c r="AW142" s="165"/>
    </row>
    <row r="143" spans="1:49">
      <c r="A143" s="236"/>
      <c r="B143" s="237"/>
      <c r="C143" s="237"/>
      <c r="D143" s="237"/>
      <c r="AC143" s="165"/>
      <c r="AD143" s="165"/>
      <c r="AE143" s="165"/>
      <c r="AF143" s="165"/>
      <c r="AG143" s="165"/>
      <c r="AH143" s="165"/>
      <c r="AI143" s="165"/>
      <c r="AJ143" s="165"/>
      <c r="AK143" s="165"/>
      <c r="AL143" s="165"/>
      <c r="AM143" s="165"/>
      <c r="AN143" s="165"/>
      <c r="AO143" s="165"/>
      <c r="AP143" s="165"/>
      <c r="AQ143" s="165"/>
      <c r="AR143" s="165"/>
      <c r="AS143" s="165"/>
      <c r="AT143" s="165"/>
      <c r="AU143" s="165"/>
      <c r="AV143" s="165"/>
      <c r="AW143" s="165"/>
    </row>
    <row r="144" spans="1:49">
      <c r="A144" s="236"/>
      <c r="B144" s="237"/>
      <c r="C144" s="237"/>
      <c r="D144" s="237"/>
      <c r="AC144" s="165"/>
      <c r="AD144" s="165"/>
      <c r="AE144" s="165"/>
      <c r="AF144" s="165"/>
      <c r="AG144" s="165"/>
      <c r="AH144" s="165"/>
      <c r="AI144" s="165"/>
      <c r="AJ144" s="165"/>
      <c r="AK144" s="165"/>
      <c r="AL144" s="165"/>
      <c r="AM144" s="165"/>
      <c r="AN144" s="165"/>
      <c r="AO144" s="165"/>
      <c r="AP144" s="165"/>
      <c r="AQ144" s="165"/>
      <c r="AR144" s="165"/>
      <c r="AS144" s="165"/>
      <c r="AT144" s="165"/>
      <c r="AU144" s="165"/>
      <c r="AV144" s="165"/>
      <c r="AW144" s="165"/>
    </row>
    <row r="145" spans="1:49">
      <c r="A145" s="236"/>
      <c r="B145" s="237"/>
      <c r="C145" s="237"/>
      <c r="D145" s="237"/>
      <c r="AC145" s="165"/>
      <c r="AD145" s="165"/>
      <c r="AE145" s="165"/>
      <c r="AF145" s="165"/>
      <c r="AG145" s="165"/>
      <c r="AH145" s="165"/>
      <c r="AI145" s="165"/>
      <c r="AJ145" s="165"/>
      <c r="AK145" s="165"/>
      <c r="AL145" s="165"/>
      <c r="AM145" s="165"/>
      <c r="AN145" s="165"/>
      <c r="AO145" s="165"/>
      <c r="AP145" s="165"/>
      <c r="AQ145" s="165"/>
      <c r="AR145" s="165"/>
      <c r="AS145" s="165"/>
      <c r="AT145" s="165"/>
      <c r="AU145" s="165"/>
      <c r="AV145" s="165"/>
      <c r="AW145" s="165"/>
    </row>
    <row r="146" spans="1:49">
      <c r="A146" s="236"/>
      <c r="B146" s="237"/>
      <c r="C146" s="237"/>
      <c r="D146" s="237"/>
      <c r="AC146" s="165"/>
      <c r="AD146" s="165"/>
      <c r="AE146" s="165"/>
      <c r="AF146" s="165"/>
      <c r="AG146" s="165"/>
      <c r="AH146" s="165"/>
      <c r="AI146" s="165"/>
      <c r="AJ146" s="165"/>
      <c r="AK146" s="165"/>
      <c r="AL146" s="165"/>
      <c r="AM146" s="165"/>
      <c r="AN146" s="165"/>
      <c r="AO146" s="165"/>
      <c r="AP146" s="165"/>
      <c r="AQ146" s="165"/>
      <c r="AR146" s="165"/>
      <c r="AS146" s="165"/>
      <c r="AT146" s="165"/>
      <c r="AU146" s="165"/>
      <c r="AV146" s="165"/>
      <c r="AW146" s="165"/>
    </row>
    <row r="147" spans="1:49">
      <c r="A147" s="236"/>
      <c r="B147" s="237"/>
      <c r="C147" s="237"/>
      <c r="D147" s="237"/>
      <c r="AC147" s="165"/>
      <c r="AD147" s="165"/>
      <c r="AE147" s="165"/>
      <c r="AF147" s="165"/>
      <c r="AG147" s="165"/>
      <c r="AH147" s="165"/>
      <c r="AI147" s="165"/>
      <c r="AJ147" s="165"/>
      <c r="AK147" s="165"/>
      <c r="AL147" s="165"/>
      <c r="AM147" s="165"/>
      <c r="AN147" s="165"/>
      <c r="AO147" s="165"/>
      <c r="AP147" s="165"/>
      <c r="AQ147" s="165"/>
      <c r="AR147" s="165"/>
      <c r="AS147" s="165"/>
      <c r="AT147" s="165"/>
      <c r="AU147" s="165"/>
      <c r="AV147" s="165"/>
      <c r="AW147" s="165"/>
    </row>
    <row r="148" spans="1:49">
      <c r="A148" s="236"/>
      <c r="B148" s="237"/>
      <c r="C148" s="237"/>
      <c r="D148" s="237"/>
      <c r="AC148" s="165"/>
      <c r="AD148" s="165"/>
      <c r="AE148" s="165"/>
      <c r="AF148" s="165"/>
      <c r="AG148" s="165"/>
      <c r="AH148" s="165"/>
      <c r="AI148" s="165"/>
      <c r="AJ148" s="165"/>
      <c r="AK148" s="165"/>
      <c r="AL148" s="165"/>
      <c r="AM148" s="165"/>
      <c r="AN148" s="165"/>
      <c r="AO148" s="165"/>
      <c r="AP148" s="165"/>
      <c r="AQ148" s="165"/>
      <c r="AR148" s="165"/>
      <c r="AS148" s="165"/>
      <c r="AT148" s="165"/>
      <c r="AU148" s="165"/>
      <c r="AV148" s="165"/>
      <c r="AW148" s="165"/>
    </row>
    <row r="149" spans="1:49">
      <c r="A149" s="236"/>
      <c r="B149" s="237"/>
      <c r="C149" s="237"/>
      <c r="D149" s="237"/>
      <c r="AC149" s="165"/>
      <c r="AD149" s="165"/>
      <c r="AE149" s="165"/>
      <c r="AF149" s="165"/>
      <c r="AG149" s="165"/>
      <c r="AH149" s="165"/>
      <c r="AI149" s="165"/>
      <c r="AJ149" s="165"/>
      <c r="AK149" s="165"/>
      <c r="AL149" s="165"/>
      <c r="AM149" s="165"/>
      <c r="AN149" s="165"/>
      <c r="AO149" s="165"/>
      <c r="AP149" s="165"/>
      <c r="AQ149" s="165"/>
      <c r="AR149" s="165"/>
      <c r="AS149" s="165"/>
      <c r="AT149" s="165"/>
      <c r="AU149" s="165"/>
      <c r="AV149" s="165"/>
      <c r="AW149" s="165"/>
    </row>
    <row r="150" spans="1:49">
      <c r="A150" s="236"/>
      <c r="B150" s="237"/>
      <c r="C150" s="237"/>
      <c r="D150" s="237"/>
      <c r="AC150" s="165"/>
      <c r="AD150" s="165"/>
      <c r="AE150" s="165"/>
      <c r="AF150" s="165"/>
      <c r="AG150" s="165"/>
      <c r="AH150" s="165"/>
      <c r="AI150" s="165"/>
      <c r="AJ150" s="165"/>
      <c r="AK150" s="165"/>
      <c r="AL150" s="165"/>
      <c r="AM150" s="165"/>
      <c r="AN150" s="165"/>
      <c r="AO150" s="165"/>
      <c r="AP150" s="165"/>
      <c r="AQ150" s="165"/>
      <c r="AR150" s="165"/>
      <c r="AS150" s="165"/>
      <c r="AT150" s="165"/>
      <c r="AU150" s="165"/>
      <c r="AV150" s="165"/>
      <c r="AW150" s="165"/>
    </row>
    <row r="151" spans="1:49">
      <c r="A151" s="236"/>
      <c r="B151" s="237"/>
      <c r="C151" s="237"/>
      <c r="D151" s="237"/>
      <c r="AC151" s="165"/>
      <c r="AD151" s="165"/>
      <c r="AE151" s="165"/>
      <c r="AF151" s="165"/>
      <c r="AG151" s="165"/>
      <c r="AH151" s="165"/>
      <c r="AI151" s="165"/>
      <c r="AJ151" s="165"/>
      <c r="AK151" s="165"/>
      <c r="AL151" s="165"/>
      <c r="AM151" s="165"/>
      <c r="AN151" s="165"/>
      <c r="AO151" s="165"/>
      <c r="AP151" s="165"/>
      <c r="AQ151" s="165"/>
      <c r="AR151" s="165"/>
      <c r="AS151" s="165"/>
      <c r="AT151" s="165"/>
      <c r="AU151" s="165"/>
      <c r="AV151" s="165"/>
      <c r="AW151" s="165"/>
    </row>
    <row r="152" spans="1:49">
      <c r="A152" s="236"/>
      <c r="B152" s="237"/>
      <c r="C152" s="237"/>
      <c r="D152" s="237"/>
      <c r="AC152" s="165"/>
      <c r="AD152" s="165"/>
      <c r="AE152" s="165"/>
      <c r="AF152" s="165"/>
      <c r="AG152" s="165"/>
      <c r="AH152" s="165"/>
      <c r="AI152" s="165"/>
      <c r="AJ152" s="165"/>
      <c r="AK152" s="165"/>
      <c r="AL152" s="165"/>
      <c r="AM152" s="165"/>
      <c r="AN152" s="165"/>
      <c r="AO152" s="165"/>
      <c r="AP152" s="165"/>
      <c r="AQ152" s="165"/>
      <c r="AR152" s="165"/>
      <c r="AS152" s="165"/>
      <c r="AT152" s="165"/>
      <c r="AU152" s="165"/>
      <c r="AV152" s="165"/>
      <c r="AW152" s="165"/>
    </row>
    <row r="153" spans="1:49">
      <c r="A153" s="236"/>
      <c r="B153" s="237"/>
      <c r="C153" s="237"/>
      <c r="D153" s="237"/>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row>
    <row r="154" spans="1:49">
      <c r="A154" s="236"/>
      <c r="B154" s="237"/>
      <c r="C154" s="237"/>
      <c r="D154" s="237"/>
      <c r="AC154" s="165"/>
      <c r="AD154" s="165"/>
      <c r="AE154" s="165"/>
      <c r="AF154" s="165"/>
      <c r="AG154" s="165"/>
      <c r="AH154" s="165"/>
      <c r="AI154" s="165"/>
      <c r="AJ154" s="165"/>
      <c r="AK154" s="165"/>
      <c r="AL154" s="165"/>
      <c r="AM154" s="165"/>
      <c r="AN154" s="165"/>
      <c r="AO154" s="165"/>
      <c r="AP154" s="165"/>
      <c r="AQ154" s="165"/>
      <c r="AR154" s="165"/>
      <c r="AS154" s="165"/>
      <c r="AT154" s="165"/>
      <c r="AU154" s="165"/>
      <c r="AV154" s="165"/>
      <c r="AW154" s="165"/>
    </row>
    <row r="155" spans="1:49">
      <c r="A155" s="236"/>
      <c r="B155" s="237"/>
      <c r="C155" s="237"/>
      <c r="D155" s="237"/>
      <c r="AC155" s="165"/>
      <c r="AD155" s="165"/>
      <c r="AE155" s="165"/>
      <c r="AF155" s="165"/>
      <c r="AG155" s="165"/>
      <c r="AH155" s="165"/>
      <c r="AI155" s="165"/>
      <c r="AJ155" s="165"/>
      <c r="AK155" s="165"/>
      <c r="AL155" s="165"/>
      <c r="AM155" s="165"/>
      <c r="AN155" s="165"/>
      <c r="AO155" s="165"/>
      <c r="AP155" s="165"/>
      <c r="AQ155" s="165"/>
      <c r="AR155" s="165"/>
      <c r="AS155" s="165"/>
      <c r="AT155" s="165"/>
      <c r="AU155" s="165"/>
      <c r="AV155" s="165"/>
      <c r="AW155" s="165"/>
    </row>
    <row r="156" spans="1:49">
      <c r="A156" s="236"/>
      <c r="B156" s="237"/>
      <c r="C156" s="237"/>
      <c r="D156" s="237"/>
      <c r="AC156" s="165"/>
      <c r="AD156" s="165"/>
      <c r="AE156" s="165"/>
      <c r="AF156" s="165"/>
      <c r="AG156" s="165"/>
      <c r="AH156" s="165"/>
      <c r="AI156" s="165"/>
      <c r="AJ156" s="165"/>
      <c r="AK156" s="165"/>
      <c r="AL156" s="165"/>
      <c r="AM156" s="165"/>
      <c r="AN156" s="165"/>
      <c r="AO156" s="165"/>
      <c r="AP156" s="165"/>
      <c r="AQ156" s="165"/>
      <c r="AR156" s="165"/>
      <c r="AS156" s="165"/>
      <c r="AT156" s="165"/>
      <c r="AU156" s="165"/>
      <c r="AV156" s="165"/>
      <c r="AW156" s="165"/>
    </row>
    <row r="157" spans="1:49">
      <c r="A157" s="236"/>
      <c r="B157" s="237"/>
      <c r="C157" s="237"/>
      <c r="D157" s="237"/>
      <c r="AC157" s="165"/>
      <c r="AD157" s="165"/>
      <c r="AE157" s="165"/>
      <c r="AF157" s="165"/>
      <c r="AG157" s="165"/>
      <c r="AH157" s="165"/>
      <c r="AI157" s="165"/>
      <c r="AJ157" s="165"/>
      <c r="AK157" s="165"/>
      <c r="AL157" s="165"/>
      <c r="AM157" s="165"/>
      <c r="AN157" s="165"/>
      <c r="AO157" s="165"/>
      <c r="AP157" s="165"/>
      <c r="AQ157" s="165"/>
      <c r="AR157" s="165"/>
      <c r="AS157" s="165"/>
      <c r="AT157" s="165"/>
      <c r="AU157" s="165"/>
      <c r="AV157" s="165"/>
      <c r="AW157" s="165"/>
    </row>
    <row r="158" spans="1:49">
      <c r="A158" s="236"/>
      <c r="B158" s="237"/>
      <c r="C158" s="237"/>
      <c r="D158" s="237"/>
      <c r="AC158" s="165"/>
      <c r="AD158" s="165"/>
      <c r="AE158" s="165"/>
      <c r="AF158" s="165"/>
      <c r="AG158" s="165"/>
      <c r="AH158" s="165"/>
      <c r="AI158" s="165"/>
      <c r="AJ158" s="165"/>
      <c r="AK158" s="165"/>
      <c r="AL158" s="165"/>
      <c r="AM158" s="165"/>
      <c r="AN158" s="165"/>
      <c r="AO158" s="165"/>
      <c r="AP158" s="165"/>
      <c r="AQ158" s="165"/>
      <c r="AR158" s="165"/>
      <c r="AS158" s="165"/>
      <c r="AT158" s="165"/>
      <c r="AU158" s="165"/>
      <c r="AV158" s="165"/>
      <c r="AW158" s="165"/>
    </row>
    <row r="159" spans="1:49">
      <c r="A159" s="236"/>
      <c r="B159" s="237"/>
      <c r="C159" s="237"/>
      <c r="D159" s="237"/>
      <c r="AC159" s="165"/>
      <c r="AD159" s="165"/>
      <c r="AE159" s="165"/>
      <c r="AF159" s="165"/>
      <c r="AG159" s="165"/>
      <c r="AH159" s="165"/>
      <c r="AI159" s="165"/>
      <c r="AJ159" s="165"/>
      <c r="AK159" s="165"/>
      <c r="AL159" s="165"/>
      <c r="AM159" s="165"/>
      <c r="AN159" s="165"/>
      <c r="AO159" s="165"/>
      <c r="AP159" s="165"/>
      <c r="AQ159" s="165"/>
      <c r="AR159" s="165"/>
      <c r="AS159" s="165"/>
      <c r="AT159" s="165"/>
      <c r="AU159" s="165"/>
      <c r="AV159" s="165"/>
      <c r="AW159" s="165"/>
    </row>
    <row r="160" spans="1:49">
      <c r="A160" s="236"/>
      <c r="B160" s="237"/>
      <c r="C160" s="237"/>
      <c r="D160" s="237"/>
      <c r="AC160" s="165"/>
      <c r="AD160" s="165"/>
      <c r="AE160" s="165"/>
      <c r="AF160" s="165"/>
      <c r="AG160" s="165"/>
      <c r="AH160" s="165"/>
      <c r="AI160" s="165"/>
      <c r="AJ160" s="165"/>
      <c r="AK160" s="165"/>
      <c r="AL160" s="165"/>
      <c r="AM160" s="165"/>
      <c r="AN160" s="165"/>
      <c r="AO160" s="165"/>
      <c r="AP160" s="165"/>
      <c r="AQ160" s="165"/>
      <c r="AR160" s="165"/>
      <c r="AS160" s="165"/>
      <c r="AT160" s="165"/>
      <c r="AU160" s="165"/>
      <c r="AV160" s="165"/>
      <c r="AW160" s="165"/>
    </row>
    <row r="161" spans="1:49">
      <c r="A161" s="236"/>
      <c r="B161" s="237"/>
      <c r="C161" s="237"/>
      <c r="D161" s="237"/>
      <c r="AC161" s="165"/>
      <c r="AD161" s="165"/>
      <c r="AE161" s="165"/>
      <c r="AF161" s="165"/>
      <c r="AG161" s="165"/>
      <c r="AH161" s="165"/>
      <c r="AI161" s="165"/>
      <c r="AJ161" s="165"/>
      <c r="AK161" s="165"/>
      <c r="AL161" s="165"/>
      <c r="AM161" s="165"/>
      <c r="AN161" s="165"/>
      <c r="AO161" s="165"/>
      <c r="AP161" s="165"/>
      <c r="AQ161" s="165"/>
      <c r="AR161" s="165"/>
      <c r="AS161" s="165"/>
      <c r="AT161" s="165"/>
      <c r="AU161" s="165"/>
      <c r="AV161" s="165"/>
      <c r="AW161" s="165"/>
    </row>
    <row r="162" spans="1:49">
      <c r="A162" s="236"/>
      <c r="B162" s="237"/>
      <c r="C162" s="237"/>
      <c r="D162" s="237"/>
      <c r="AC162" s="165"/>
      <c r="AD162" s="165"/>
      <c r="AE162" s="165"/>
      <c r="AF162" s="165"/>
      <c r="AG162" s="165"/>
      <c r="AH162" s="165"/>
      <c r="AI162" s="165"/>
      <c r="AJ162" s="165"/>
      <c r="AK162" s="165"/>
      <c r="AL162" s="165"/>
      <c r="AM162" s="165"/>
      <c r="AN162" s="165"/>
      <c r="AO162" s="165"/>
      <c r="AP162" s="165"/>
      <c r="AQ162" s="165"/>
      <c r="AR162" s="165"/>
      <c r="AS162" s="165"/>
      <c r="AT162" s="165"/>
      <c r="AU162" s="165"/>
      <c r="AV162" s="165"/>
      <c r="AW162" s="165"/>
    </row>
    <row r="163" spans="1:49">
      <c r="A163" s="236"/>
      <c r="B163" s="237"/>
      <c r="C163" s="237"/>
      <c r="D163" s="237"/>
      <c r="AC163" s="165"/>
      <c r="AD163" s="165"/>
      <c r="AE163" s="165"/>
      <c r="AF163" s="165"/>
      <c r="AG163" s="165"/>
      <c r="AH163" s="165"/>
      <c r="AI163" s="165"/>
      <c r="AJ163" s="165"/>
      <c r="AK163" s="165"/>
      <c r="AL163" s="165"/>
      <c r="AM163" s="165"/>
      <c r="AN163" s="165"/>
      <c r="AO163" s="165"/>
      <c r="AP163" s="165"/>
      <c r="AQ163" s="165"/>
      <c r="AR163" s="165"/>
      <c r="AS163" s="165"/>
      <c r="AT163" s="165"/>
      <c r="AU163" s="165"/>
      <c r="AV163" s="165"/>
      <c r="AW163" s="165"/>
    </row>
    <row r="164" spans="1:49">
      <c r="A164" s="236"/>
      <c r="B164" s="237"/>
      <c r="C164" s="237"/>
      <c r="D164" s="237"/>
      <c r="AC164" s="165"/>
      <c r="AD164" s="165"/>
      <c r="AE164" s="165"/>
      <c r="AF164" s="165"/>
      <c r="AG164" s="165"/>
      <c r="AH164" s="165"/>
      <c r="AI164" s="165"/>
      <c r="AJ164" s="165"/>
      <c r="AK164" s="165"/>
      <c r="AL164" s="165"/>
      <c r="AM164" s="165"/>
      <c r="AN164" s="165"/>
      <c r="AO164" s="165"/>
      <c r="AP164" s="165"/>
      <c r="AQ164" s="165"/>
      <c r="AR164" s="165"/>
      <c r="AS164" s="165"/>
      <c r="AT164" s="165"/>
      <c r="AU164" s="165"/>
      <c r="AV164" s="165"/>
      <c r="AW164" s="165"/>
    </row>
    <row r="165" spans="1:49">
      <c r="A165" s="236"/>
      <c r="B165" s="237"/>
      <c r="C165" s="237"/>
      <c r="D165" s="237"/>
      <c r="AC165" s="165"/>
      <c r="AD165" s="165"/>
      <c r="AE165" s="165"/>
      <c r="AF165" s="165"/>
      <c r="AG165" s="165"/>
      <c r="AH165" s="165"/>
      <c r="AI165" s="165"/>
      <c r="AJ165" s="165"/>
      <c r="AK165" s="165"/>
      <c r="AL165" s="165"/>
      <c r="AM165" s="165"/>
      <c r="AN165" s="165"/>
      <c r="AO165" s="165"/>
      <c r="AP165" s="165"/>
      <c r="AQ165" s="165"/>
      <c r="AR165" s="165"/>
      <c r="AS165" s="165"/>
      <c r="AT165" s="165"/>
      <c r="AU165" s="165"/>
      <c r="AV165" s="165"/>
      <c r="AW165" s="165"/>
    </row>
    <row r="166" spans="1:49">
      <c r="A166" s="236"/>
      <c r="B166" s="237"/>
      <c r="C166" s="237"/>
      <c r="D166" s="237"/>
      <c r="AC166" s="165"/>
      <c r="AD166" s="165"/>
      <c r="AE166" s="165"/>
      <c r="AF166" s="165"/>
      <c r="AG166" s="165"/>
      <c r="AH166" s="165"/>
      <c r="AI166" s="165"/>
      <c r="AJ166" s="165"/>
      <c r="AK166" s="165"/>
      <c r="AL166" s="165"/>
      <c r="AM166" s="165"/>
      <c r="AN166" s="165"/>
      <c r="AO166" s="165"/>
      <c r="AP166" s="165"/>
      <c r="AQ166" s="165"/>
      <c r="AR166" s="165"/>
      <c r="AS166" s="165"/>
      <c r="AT166" s="165"/>
      <c r="AU166" s="165"/>
      <c r="AV166" s="165"/>
      <c r="AW166" s="165"/>
    </row>
    <row r="167" spans="1:49">
      <c r="A167" s="236"/>
      <c r="B167" s="237"/>
      <c r="C167" s="237"/>
      <c r="D167" s="237"/>
      <c r="AC167" s="165"/>
      <c r="AD167" s="165"/>
      <c r="AE167" s="165"/>
      <c r="AF167" s="165"/>
      <c r="AG167" s="165"/>
      <c r="AH167" s="165"/>
      <c r="AI167" s="165"/>
      <c r="AJ167" s="165"/>
      <c r="AK167" s="165"/>
      <c r="AL167" s="165"/>
      <c r="AM167" s="165"/>
      <c r="AN167" s="165"/>
      <c r="AO167" s="165"/>
      <c r="AP167" s="165"/>
      <c r="AQ167" s="165"/>
      <c r="AR167" s="165"/>
      <c r="AS167" s="165"/>
      <c r="AT167" s="165"/>
      <c r="AU167" s="165"/>
      <c r="AV167" s="165"/>
      <c r="AW167" s="165"/>
    </row>
    <row r="168" spans="1:49">
      <c r="A168" s="236"/>
      <c r="B168" s="237"/>
      <c r="C168" s="237"/>
      <c r="D168" s="237"/>
      <c r="AC168" s="165"/>
      <c r="AD168" s="165"/>
      <c r="AE168" s="165"/>
      <c r="AF168" s="165"/>
      <c r="AG168" s="165"/>
      <c r="AH168" s="165"/>
      <c r="AI168" s="165"/>
      <c r="AJ168" s="165"/>
      <c r="AK168" s="165"/>
      <c r="AL168" s="165"/>
      <c r="AM168" s="165"/>
      <c r="AN168" s="165"/>
      <c r="AO168" s="165"/>
      <c r="AP168" s="165"/>
      <c r="AQ168" s="165"/>
      <c r="AR168" s="165"/>
      <c r="AS168" s="165"/>
      <c r="AT168" s="165"/>
      <c r="AU168" s="165"/>
      <c r="AV168" s="165"/>
      <c r="AW168" s="165"/>
    </row>
    <row r="169" spans="1:49">
      <c r="A169" s="236"/>
      <c r="B169" s="237"/>
      <c r="C169" s="237"/>
      <c r="D169" s="237"/>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5"/>
    </row>
    <row r="170" spans="1:49">
      <c r="A170" s="236"/>
      <c r="B170" s="237"/>
      <c r="C170" s="237"/>
      <c r="D170" s="237"/>
      <c r="AC170" s="165"/>
      <c r="AD170" s="165"/>
      <c r="AE170" s="165"/>
      <c r="AF170" s="165"/>
      <c r="AG170" s="165"/>
      <c r="AH170" s="165"/>
      <c r="AI170" s="165"/>
      <c r="AJ170" s="165"/>
      <c r="AK170" s="165"/>
      <c r="AL170" s="165"/>
      <c r="AM170" s="165"/>
      <c r="AN170" s="165"/>
      <c r="AO170" s="165"/>
      <c r="AP170" s="165"/>
      <c r="AQ170" s="165"/>
      <c r="AR170" s="165"/>
      <c r="AS170" s="165"/>
      <c r="AT170" s="165"/>
      <c r="AU170" s="165"/>
      <c r="AV170" s="165"/>
      <c r="AW170" s="165"/>
    </row>
    <row r="171" spans="1:49">
      <c r="A171" s="236"/>
      <c r="B171" s="237"/>
      <c r="C171" s="237"/>
      <c r="D171" s="237"/>
      <c r="AC171" s="165"/>
      <c r="AD171" s="165"/>
      <c r="AE171" s="165"/>
      <c r="AF171" s="165"/>
      <c r="AG171" s="165"/>
      <c r="AH171" s="165"/>
      <c r="AI171" s="165"/>
      <c r="AJ171" s="165"/>
      <c r="AK171" s="165"/>
      <c r="AL171" s="165"/>
      <c r="AM171" s="165"/>
      <c r="AN171" s="165"/>
      <c r="AO171" s="165"/>
      <c r="AP171" s="165"/>
      <c r="AQ171" s="165"/>
      <c r="AR171" s="165"/>
      <c r="AS171" s="165"/>
      <c r="AT171" s="165"/>
      <c r="AU171" s="165"/>
      <c r="AV171" s="165"/>
      <c r="AW171" s="165"/>
    </row>
    <row r="172" spans="1:49">
      <c r="A172" s="236"/>
      <c r="B172" s="237"/>
      <c r="C172" s="237"/>
      <c r="D172" s="237"/>
      <c r="AC172" s="165"/>
      <c r="AD172" s="165"/>
      <c r="AE172" s="165"/>
      <c r="AF172" s="165"/>
      <c r="AG172" s="165"/>
      <c r="AH172" s="165"/>
      <c r="AI172" s="165"/>
      <c r="AJ172" s="165"/>
      <c r="AK172" s="165"/>
      <c r="AL172" s="165"/>
      <c r="AM172" s="165"/>
      <c r="AN172" s="165"/>
      <c r="AO172" s="165"/>
      <c r="AP172" s="165"/>
      <c r="AQ172" s="165"/>
      <c r="AR172" s="165"/>
      <c r="AS172" s="165"/>
      <c r="AT172" s="165"/>
      <c r="AU172" s="165"/>
      <c r="AV172" s="165"/>
      <c r="AW172" s="165"/>
    </row>
    <row r="173" spans="1:49">
      <c r="A173" s="236"/>
      <c r="B173" s="237"/>
      <c r="C173" s="237"/>
      <c r="D173" s="237"/>
      <c r="AC173" s="165"/>
      <c r="AD173" s="165"/>
      <c r="AE173" s="165"/>
      <c r="AF173" s="165"/>
      <c r="AG173" s="165"/>
      <c r="AH173" s="165"/>
      <c r="AI173" s="165"/>
      <c r="AJ173" s="165"/>
      <c r="AK173" s="165"/>
      <c r="AL173" s="165"/>
      <c r="AM173" s="165"/>
      <c r="AN173" s="165"/>
      <c r="AO173" s="165"/>
      <c r="AP173" s="165"/>
      <c r="AQ173" s="165"/>
      <c r="AR173" s="165"/>
      <c r="AS173" s="165"/>
      <c r="AT173" s="165"/>
      <c r="AU173" s="165"/>
      <c r="AV173" s="165"/>
      <c r="AW173" s="165"/>
    </row>
    <row r="174" spans="1:49">
      <c r="A174" s="236"/>
      <c r="B174" s="237"/>
      <c r="C174" s="237"/>
      <c r="D174" s="237"/>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row>
    <row r="175" spans="1:49">
      <c r="A175" s="236"/>
      <c r="B175" s="237"/>
      <c r="C175" s="237"/>
      <c r="D175" s="237"/>
      <c r="AC175" s="165"/>
      <c r="AD175" s="165"/>
      <c r="AE175" s="165"/>
      <c r="AF175" s="165"/>
      <c r="AG175" s="165"/>
      <c r="AH175" s="165"/>
      <c r="AI175" s="165"/>
      <c r="AJ175" s="165"/>
      <c r="AK175" s="165"/>
      <c r="AL175" s="165"/>
      <c r="AM175" s="165"/>
      <c r="AN175" s="165"/>
      <c r="AO175" s="165"/>
      <c r="AP175" s="165"/>
      <c r="AQ175" s="165"/>
      <c r="AR175" s="165"/>
      <c r="AS175" s="165"/>
      <c r="AT175" s="165"/>
      <c r="AU175" s="165"/>
      <c r="AV175" s="165"/>
      <c r="AW175" s="165"/>
    </row>
    <row r="176" spans="1:49">
      <c r="A176" s="236"/>
      <c r="B176" s="237"/>
      <c r="C176" s="237"/>
      <c r="D176" s="237"/>
      <c r="AC176" s="165"/>
      <c r="AD176" s="165"/>
      <c r="AE176" s="165"/>
      <c r="AF176" s="165"/>
      <c r="AG176" s="165"/>
      <c r="AH176" s="165"/>
      <c r="AI176" s="165"/>
      <c r="AJ176" s="165"/>
      <c r="AK176" s="165"/>
      <c r="AL176" s="165"/>
      <c r="AM176" s="165"/>
      <c r="AN176" s="165"/>
      <c r="AO176" s="165"/>
      <c r="AP176" s="165"/>
      <c r="AQ176" s="165"/>
      <c r="AR176" s="165"/>
      <c r="AS176" s="165"/>
      <c r="AT176" s="165"/>
      <c r="AU176" s="165"/>
      <c r="AV176" s="165"/>
      <c r="AW176" s="165"/>
    </row>
    <row r="177" spans="1:49">
      <c r="A177" s="236"/>
      <c r="B177" s="237"/>
      <c r="C177" s="237"/>
      <c r="D177" s="237"/>
      <c r="AC177" s="165"/>
      <c r="AD177" s="165"/>
      <c r="AE177" s="165"/>
      <c r="AF177" s="165"/>
      <c r="AG177" s="165"/>
      <c r="AH177" s="165"/>
      <c r="AI177" s="165"/>
      <c r="AJ177" s="165"/>
      <c r="AK177" s="165"/>
      <c r="AL177" s="165"/>
      <c r="AM177" s="165"/>
      <c r="AN177" s="165"/>
      <c r="AO177" s="165"/>
      <c r="AP177" s="165"/>
      <c r="AQ177" s="165"/>
      <c r="AR177" s="165"/>
      <c r="AS177" s="165"/>
      <c r="AT177" s="165"/>
      <c r="AU177" s="165"/>
      <c r="AV177" s="165"/>
      <c r="AW177" s="165"/>
    </row>
    <row r="178" spans="1:49">
      <c r="A178" s="236"/>
      <c r="B178" s="237"/>
      <c r="C178" s="237"/>
      <c r="D178" s="237"/>
      <c r="AC178" s="165"/>
      <c r="AD178" s="165"/>
      <c r="AE178" s="165"/>
      <c r="AF178" s="165"/>
      <c r="AG178" s="165"/>
      <c r="AH178" s="165"/>
      <c r="AI178" s="165"/>
      <c r="AJ178" s="165"/>
      <c r="AK178" s="165"/>
      <c r="AL178" s="165"/>
      <c r="AM178" s="165"/>
      <c r="AN178" s="165"/>
      <c r="AO178" s="165"/>
      <c r="AP178" s="165"/>
      <c r="AQ178" s="165"/>
      <c r="AR178" s="165"/>
      <c r="AS178" s="165"/>
      <c r="AT178" s="165"/>
      <c r="AU178" s="165"/>
      <c r="AV178" s="165"/>
      <c r="AW178" s="165"/>
    </row>
    <row r="179" spans="1:49">
      <c r="A179" s="236"/>
      <c r="B179" s="237"/>
      <c r="C179" s="237"/>
      <c r="D179" s="237"/>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row>
    <row r="180" spans="1:49">
      <c r="A180" s="236"/>
      <c r="B180" s="237"/>
      <c r="C180" s="237"/>
      <c r="D180" s="237"/>
      <c r="AC180" s="165"/>
      <c r="AD180" s="165"/>
      <c r="AE180" s="165"/>
      <c r="AF180" s="165"/>
      <c r="AG180" s="165"/>
      <c r="AH180" s="165"/>
      <c r="AI180" s="165"/>
      <c r="AJ180" s="165"/>
      <c r="AK180" s="165"/>
      <c r="AL180" s="165"/>
      <c r="AM180" s="165"/>
      <c r="AN180" s="165"/>
      <c r="AO180" s="165"/>
      <c r="AP180" s="165"/>
      <c r="AQ180" s="165"/>
      <c r="AR180" s="165"/>
      <c r="AS180" s="165"/>
      <c r="AT180" s="165"/>
      <c r="AU180" s="165"/>
      <c r="AV180" s="165"/>
      <c r="AW180" s="165"/>
    </row>
    <row r="181" spans="1:49">
      <c r="A181" s="236"/>
      <c r="B181" s="237"/>
      <c r="C181" s="237"/>
      <c r="D181" s="237"/>
      <c r="AC181" s="165"/>
      <c r="AD181" s="165"/>
      <c r="AE181" s="165"/>
      <c r="AF181" s="165"/>
      <c r="AG181" s="165"/>
      <c r="AH181" s="165"/>
      <c r="AI181" s="165"/>
      <c r="AJ181" s="165"/>
      <c r="AK181" s="165"/>
      <c r="AL181" s="165"/>
      <c r="AM181" s="165"/>
      <c r="AN181" s="165"/>
      <c r="AO181" s="165"/>
      <c r="AP181" s="165"/>
      <c r="AQ181" s="165"/>
      <c r="AR181" s="165"/>
      <c r="AS181" s="165"/>
      <c r="AT181" s="165"/>
      <c r="AU181" s="165"/>
      <c r="AV181" s="165"/>
      <c r="AW181" s="165"/>
    </row>
    <row r="182" spans="1:49">
      <c r="A182" s="236"/>
      <c r="B182" s="237"/>
      <c r="C182" s="237"/>
      <c r="D182" s="237"/>
      <c r="AC182" s="165"/>
      <c r="AD182" s="165"/>
      <c r="AE182" s="165"/>
      <c r="AF182" s="165"/>
      <c r="AG182" s="165"/>
      <c r="AH182" s="165"/>
      <c r="AI182" s="165"/>
      <c r="AJ182" s="165"/>
      <c r="AK182" s="165"/>
      <c r="AL182" s="165"/>
      <c r="AM182" s="165"/>
      <c r="AN182" s="165"/>
      <c r="AO182" s="165"/>
      <c r="AP182" s="165"/>
      <c r="AQ182" s="165"/>
      <c r="AR182" s="165"/>
      <c r="AS182" s="165"/>
      <c r="AT182" s="165"/>
      <c r="AU182" s="165"/>
      <c r="AV182" s="165"/>
      <c r="AW182" s="165"/>
    </row>
    <row r="183" spans="1:49">
      <c r="A183" s="236"/>
      <c r="B183" s="237"/>
      <c r="C183" s="237"/>
      <c r="D183" s="237"/>
      <c r="AC183" s="165"/>
      <c r="AD183" s="165"/>
      <c r="AE183" s="165"/>
      <c r="AF183" s="165"/>
      <c r="AG183" s="165"/>
      <c r="AH183" s="165"/>
      <c r="AI183" s="165"/>
      <c r="AJ183" s="165"/>
      <c r="AK183" s="165"/>
      <c r="AL183" s="165"/>
      <c r="AM183" s="165"/>
      <c r="AN183" s="165"/>
      <c r="AO183" s="165"/>
      <c r="AP183" s="165"/>
      <c r="AQ183" s="165"/>
      <c r="AR183" s="165"/>
      <c r="AS183" s="165"/>
      <c r="AT183" s="165"/>
      <c r="AU183" s="165"/>
      <c r="AV183" s="165"/>
      <c r="AW183" s="165"/>
    </row>
    <row r="184" spans="1:49">
      <c r="A184" s="236"/>
      <c r="B184" s="237"/>
      <c r="C184" s="237"/>
      <c r="D184" s="237"/>
      <c r="AC184" s="165"/>
      <c r="AD184" s="165"/>
      <c r="AE184" s="165"/>
      <c r="AF184" s="165"/>
      <c r="AG184" s="165"/>
      <c r="AH184" s="165"/>
      <c r="AI184" s="165"/>
      <c r="AJ184" s="165"/>
      <c r="AK184" s="165"/>
      <c r="AL184" s="165"/>
      <c r="AM184" s="165"/>
      <c r="AN184" s="165"/>
      <c r="AO184" s="165"/>
      <c r="AP184" s="165"/>
      <c r="AQ184" s="165"/>
      <c r="AR184" s="165"/>
      <c r="AS184" s="165"/>
      <c r="AT184" s="165"/>
      <c r="AU184" s="165"/>
      <c r="AV184" s="165"/>
      <c r="AW184" s="165"/>
    </row>
    <row r="185" spans="1:49">
      <c r="A185" s="236"/>
      <c r="B185" s="237"/>
      <c r="C185" s="237"/>
      <c r="D185" s="237"/>
      <c r="AC185" s="165"/>
      <c r="AD185" s="165"/>
      <c r="AE185" s="165"/>
      <c r="AF185" s="165"/>
      <c r="AG185" s="165"/>
      <c r="AH185" s="165"/>
      <c r="AI185" s="165"/>
      <c r="AJ185" s="165"/>
      <c r="AK185" s="165"/>
      <c r="AL185" s="165"/>
      <c r="AM185" s="165"/>
      <c r="AN185" s="165"/>
      <c r="AO185" s="165"/>
      <c r="AP185" s="165"/>
      <c r="AQ185" s="165"/>
      <c r="AR185" s="165"/>
      <c r="AS185" s="165"/>
      <c r="AT185" s="165"/>
      <c r="AU185" s="165"/>
      <c r="AV185" s="165"/>
      <c r="AW185" s="165"/>
    </row>
    <row r="186" spans="1:49">
      <c r="A186" s="236"/>
      <c r="B186" s="237"/>
      <c r="C186" s="237"/>
      <c r="D186" s="237"/>
      <c r="AC186" s="165"/>
      <c r="AD186" s="165"/>
      <c r="AE186" s="165"/>
      <c r="AF186" s="165"/>
      <c r="AG186" s="165"/>
      <c r="AH186" s="165"/>
      <c r="AI186" s="165"/>
      <c r="AJ186" s="165"/>
      <c r="AK186" s="165"/>
      <c r="AL186" s="165"/>
      <c r="AM186" s="165"/>
      <c r="AN186" s="165"/>
      <c r="AO186" s="165"/>
      <c r="AP186" s="165"/>
      <c r="AQ186" s="165"/>
      <c r="AR186" s="165"/>
      <c r="AS186" s="165"/>
      <c r="AT186" s="165"/>
      <c r="AU186" s="165"/>
      <c r="AV186" s="165"/>
      <c r="AW186" s="165"/>
    </row>
    <row r="187" spans="1:49">
      <c r="A187" s="236"/>
      <c r="B187" s="237"/>
      <c r="C187" s="237"/>
      <c r="D187" s="237"/>
      <c r="AC187" s="165"/>
      <c r="AD187" s="165"/>
      <c r="AE187" s="165"/>
      <c r="AF187" s="165"/>
      <c r="AG187" s="165"/>
      <c r="AH187" s="165"/>
      <c r="AI187" s="165"/>
      <c r="AJ187" s="165"/>
      <c r="AK187" s="165"/>
      <c r="AL187" s="165"/>
      <c r="AM187" s="165"/>
      <c r="AN187" s="165"/>
      <c r="AO187" s="165"/>
      <c r="AP187" s="165"/>
      <c r="AQ187" s="165"/>
      <c r="AR187" s="165"/>
      <c r="AS187" s="165"/>
      <c r="AT187" s="165"/>
      <c r="AU187" s="165"/>
      <c r="AV187" s="165"/>
      <c r="AW187" s="165"/>
    </row>
    <row r="188" spans="1:49">
      <c r="A188" s="236"/>
      <c r="B188" s="237"/>
      <c r="C188" s="237"/>
      <c r="D188" s="237"/>
      <c r="AC188" s="165"/>
      <c r="AD188" s="165"/>
      <c r="AE188" s="165"/>
      <c r="AF188" s="165"/>
      <c r="AG188" s="165"/>
      <c r="AH188" s="165"/>
      <c r="AI188" s="165"/>
      <c r="AJ188" s="165"/>
      <c r="AK188" s="165"/>
      <c r="AL188" s="165"/>
      <c r="AM188" s="165"/>
      <c r="AN188" s="165"/>
      <c r="AO188" s="165"/>
      <c r="AP188" s="165"/>
      <c r="AQ188" s="165"/>
      <c r="AR188" s="165"/>
      <c r="AS188" s="165"/>
      <c r="AT188" s="165"/>
      <c r="AU188" s="165"/>
      <c r="AV188" s="165"/>
      <c r="AW188" s="165"/>
    </row>
    <row r="189" spans="1:49">
      <c r="A189" s="236"/>
      <c r="B189" s="237"/>
      <c r="C189" s="237"/>
      <c r="D189" s="237"/>
      <c r="AC189" s="165"/>
      <c r="AD189" s="165"/>
      <c r="AE189" s="165"/>
      <c r="AF189" s="165"/>
      <c r="AG189" s="165"/>
      <c r="AH189" s="165"/>
      <c r="AI189" s="165"/>
      <c r="AJ189" s="165"/>
      <c r="AK189" s="165"/>
      <c r="AL189" s="165"/>
      <c r="AM189" s="165"/>
      <c r="AN189" s="165"/>
      <c r="AO189" s="165"/>
      <c r="AP189" s="165"/>
      <c r="AQ189" s="165"/>
      <c r="AR189" s="165"/>
      <c r="AS189" s="165"/>
      <c r="AT189" s="165"/>
      <c r="AU189" s="165"/>
      <c r="AV189" s="165"/>
      <c r="AW189" s="165"/>
    </row>
    <row r="190" spans="1:49">
      <c r="A190" s="236"/>
      <c r="B190" s="237"/>
      <c r="C190" s="237"/>
      <c r="D190" s="237"/>
    </row>
    <row r="191" spans="1:49">
      <c r="A191" s="236"/>
      <c r="B191" s="237"/>
      <c r="C191" s="237"/>
      <c r="D191" s="237"/>
    </row>
    <row r="192" spans="1:49">
      <c r="A192" s="236"/>
      <c r="B192" s="237"/>
      <c r="C192" s="237"/>
      <c r="D192" s="237"/>
    </row>
    <row r="193" spans="1:4">
      <c r="A193" s="236"/>
      <c r="B193" s="237"/>
      <c r="C193" s="237"/>
      <c r="D193" s="237"/>
    </row>
    <row r="194" spans="1:4">
      <c r="A194" s="236"/>
      <c r="B194" s="237"/>
      <c r="C194" s="237"/>
      <c r="D194" s="237"/>
    </row>
    <row r="195" spans="1:4">
      <c r="A195" s="236"/>
      <c r="B195" s="237"/>
      <c r="C195" s="237"/>
      <c r="D195" s="237"/>
    </row>
    <row r="196" spans="1:4">
      <c r="A196" s="236"/>
      <c r="B196" s="237"/>
      <c r="C196" s="237"/>
      <c r="D196" s="237"/>
    </row>
    <row r="197" spans="1:4">
      <c r="A197" s="236"/>
      <c r="B197" s="237"/>
      <c r="C197" s="237"/>
      <c r="D197" s="237"/>
    </row>
    <row r="198" spans="1:4">
      <c r="A198" s="236"/>
      <c r="B198" s="237"/>
      <c r="C198" s="237"/>
      <c r="D198" s="237"/>
    </row>
    <row r="199" spans="1:4">
      <c r="A199" s="236"/>
      <c r="B199" s="237"/>
      <c r="C199" s="237"/>
      <c r="D199" s="237"/>
    </row>
    <row r="200" spans="1:4">
      <c r="A200" s="236"/>
      <c r="B200" s="237"/>
      <c r="C200" s="237"/>
      <c r="D200" s="237"/>
    </row>
    <row r="201" spans="1:4">
      <c r="A201" s="236"/>
      <c r="B201" s="237"/>
      <c r="C201" s="237"/>
      <c r="D201" s="237"/>
    </row>
    <row r="202" spans="1:4">
      <c r="A202" s="236"/>
      <c r="B202" s="237"/>
      <c r="C202" s="237"/>
      <c r="D202" s="237"/>
    </row>
    <row r="203" spans="1:4">
      <c r="A203" s="236"/>
      <c r="B203" s="237"/>
      <c r="C203" s="237"/>
      <c r="D203" s="237"/>
    </row>
    <row r="204" spans="1:4">
      <c r="A204" s="236"/>
      <c r="B204" s="237"/>
      <c r="C204" s="237"/>
      <c r="D204" s="237"/>
    </row>
    <row r="205" spans="1:4">
      <c r="A205" s="236"/>
      <c r="B205" s="237"/>
      <c r="C205" s="237"/>
      <c r="D205" s="237"/>
    </row>
    <row r="206" spans="1:4">
      <c r="A206" s="236"/>
      <c r="B206" s="237"/>
      <c r="C206" s="237"/>
      <c r="D206" s="237"/>
    </row>
    <row r="207" spans="1:4">
      <c r="A207" s="236"/>
      <c r="B207" s="237"/>
      <c r="C207" s="237"/>
      <c r="D207" s="237"/>
    </row>
    <row r="208" spans="1:4">
      <c r="A208" s="236"/>
      <c r="B208" s="237"/>
      <c r="C208" s="237"/>
      <c r="D208" s="237"/>
    </row>
    <row r="209" spans="1:4">
      <c r="A209" s="236"/>
      <c r="B209" s="237"/>
      <c r="C209" s="237"/>
      <c r="D209" s="237"/>
    </row>
    <row r="210" spans="1:4">
      <c r="A210" s="236"/>
      <c r="B210" s="237"/>
      <c r="C210" s="237"/>
      <c r="D210" s="237"/>
    </row>
    <row r="211" spans="1:4">
      <c r="A211" s="236"/>
      <c r="B211" s="237"/>
      <c r="C211" s="237"/>
      <c r="D211" s="237"/>
    </row>
    <row r="212" spans="1:4">
      <c r="A212" s="236"/>
      <c r="B212" s="237"/>
      <c r="C212" s="237"/>
      <c r="D212" s="237"/>
    </row>
    <row r="213" spans="1:4">
      <c r="A213" s="236"/>
      <c r="B213" s="237"/>
      <c r="C213" s="237"/>
      <c r="D213" s="237"/>
    </row>
    <row r="214" spans="1:4">
      <c r="A214" s="236"/>
      <c r="B214" s="237"/>
      <c r="C214" s="237"/>
      <c r="D214" s="237"/>
    </row>
    <row r="215" spans="1:4">
      <c r="A215" s="236"/>
      <c r="B215" s="237"/>
      <c r="C215" s="237"/>
      <c r="D215" s="237"/>
    </row>
    <row r="216" spans="1:4">
      <c r="A216" s="236"/>
      <c r="B216" s="237"/>
      <c r="C216" s="237"/>
      <c r="D216" s="237"/>
    </row>
    <row r="217" spans="1:4">
      <c r="A217" s="236"/>
      <c r="B217" s="237"/>
      <c r="C217" s="237"/>
      <c r="D217" s="237"/>
    </row>
    <row r="218" spans="1:4">
      <c r="A218" s="236"/>
      <c r="B218" s="237"/>
      <c r="C218" s="237"/>
      <c r="D218" s="237"/>
    </row>
    <row r="219" spans="1:4">
      <c r="A219" s="236"/>
      <c r="B219" s="237"/>
      <c r="C219" s="237"/>
      <c r="D219" s="237"/>
    </row>
    <row r="220" spans="1:4">
      <c r="A220" s="236"/>
      <c r="B220" s="237"/>
      <c r="C220" s="237"/>
      <c r="D220" s="237"/>
    </row>
    <row r="221" spans="1:4">
      <c r="A221" s="236"/>
      <c r="B221" s="237"/>
      <c r="C221" s="237"/>
      <c r="D221" s="237"/>
    </row>
    <row r="222" spans="1:4">
      <c r="A222" s="236"/>
      <c r="B222" s="237"/>
      <c r="C222" s="237"/>
      <c r="D222" s="237"/>
    </row>
    <row r="223" spans="1:4">
      <c r="A223" s="236"/>
      <c r="B223" s="237"/>
      <c r="C223" s="237"/>
      <c r="D223" s="237"/>
    </row>
    <row r="224" spans="1:4">
      <c r="A224" s="236"/>
      <c r="B224" s="237"/>
      <c r="C224" s="237"/>
      <c r="D224" s="237"/>
    </row>
    <row r="225" spans="1:4">
      <c r="A225" s="236"/>
      <c r="B225" s="237"/>
      <c r="C225" s="237"/>
      <c r="D225" s="237"/>
    </row>
    <row r="226" spans="1:4">
      <c r="A226" s="236"/>
      <c r="B226" s="237"/>
      <c r="C226" s="237"/>
      <c r="D226" s="237"/>
    </row>
    <row r="227" spans="1:4">
      <c r="A227" s="236"/>
      <c r="B227" s="237"/>
      <c r="C227" s="237"/>
      <c r="D227" s="237"/>
    </row>
    <row r="228" spans="1:4">
      <c r="A228" s="236"/>
      <c r="B228" s="237"/>
      <c r="C228" s="237"/>
      <c r="D228" s="237"/>
    </row>
    <row r="229" spans="1:4">
      <c r="A229" s="236"/>
      <c r="B229" s="237"/>
      <c r="C229" s="237"/>
      <c r="D229" s="237"/>
    </row>
    <row r="230" spans="1:4">
      <c r="A230" s="236"/>
      <c r="B230" s="237"/>
      <c r="C230" s="237"/>
      <c r="D230" s="237"/>
    </row>
    <row r="231" spans="1:4">
      <c r="A231" s="236"/>
      <c r="B231" s="237"/>
      <c r="C231" s="237"/>
      <c r="D231" s="237"/>
    </row>
    <row r="232" spans="1:4">
      <c r="A232" s="236"/>
      <c r="B232" s="237"/>
      <c r="C232" s="237"/>
      <c r="D232" s="237"/>
    </row>
    <row r="233" spans="1:4">
      <c r="A233" s="236"/>
      <c r="B233" s="237"/>
      <c r="C233" s="237"/>
      <c r="D233" s="237"/>
    </row>
    <row r="234" spans="1:4">
      <c r="A234" s="236"/>
      <c r="B234" s="237"/>
      <c r="C234" s="237"/>
      <c r="D234" s="237"/>
    </row>
    <row r="235" spans="1:4">
      <c r="A235" s="236"/>
      <c r="B235" s="237"/>
      <c r="C235" s="237"/>
      <c r="D235" s="237"/>
    </row>
    <row r="236" spans="1:4">
      <c r="A236" s="236"/>
      <c r="B236" s="237"/>
      <c r="C236" s="237"/>
      <c r="D236" s="237"/>
    </row>
    <row r="237" spans="1:4">
      <c r="A237" s="236"/>
      <c r="B237" s="237"/>
      <c r="C237" s="237"/>
      <c r="D237" s="237"/>
    </row>
    <row r="238" spans="1:4">
      <c r="A238" s="236"/>
      <c r="B238" s="237"/>
      <c r="C238" s="237"/>
      <c r="D238" s="237"/>
    </row>
    <row r="239" spans="1:4">
      <c r="A239" s="236"/>
      <c r="B239" s="237"/>
      <c r="C239" s="237"/>
      <c r="D239" s="237"/>
    </row>
    <row r="240" spans="1:4">
      <c r="A240" s="236"/>
      <c r="B240" s="237"/>
      <c r="C240" s="237"/>
      <c r="D240" s="237"/>
    </row>
    <row r="241" spans="1:4">
      <c r="A241" s="236"/>
      <c r="B241" s="237"/>
      <c r="C241" s="237"/>
      <c r="D241" s="237"/>
    </row>
    <row r="242" spans="1:4">
      <c r="A242" s="236"/>
      <c r="B242" s="237"/>
      <c r="C242" s="237"/>
      <c r="D242" s="237"/>
    </row>
    <row r="243" spans="1:4">
      <c r="A243" s="236"/>
      <c r="B243" s="237"/>
      <c r="C243" s="237"/>
      <c r="D243" s="237"/>
    </row>
    <row r="244" spans="1:4">
      <c r="A244" s="236"/>
      <c r="B244" s="237"/>
      <c r="C244" s="237"/>
      <c r="D244" s="237"/>
    </row>
    <row r="245" spans="1:4">
      <c r="A245" s="236"/>
      <c r="B245" s="237"/>
      <c r="C245" s="237"/>
      <c r="D245" s="237"/>
    </row>
    <row r="246" spans="1:4">
      <c r="A246" s="236"/>
      <c r="B246" s="237"/>
      <c r="C246" s="237"/>
      <c r="D246" s="237"/>
    </row>
    <row r="247" spans="1:4">
      <c r="A247" s="236"/>
      <c r="B247" s="237"/>
      <c r="C247" s="237"/>
      <c r="D247" s="237"/>
    </row>
    <row r="248" spans="1:4">
      <c r="A248" s="236"/>
      <c r="B248" s="237"/>
      <c r="C248" s="237"/>
      <c r="D248" s="237"/>
    </row>
    <row r="249" spans="1:4">
      <c r="A249" s="236"/>
      <c r="B249" s="237"/>
      <c r="C249" s="237"/>
      <c r="D249" s="237"/>
    </row>
    <row r="250" spans="1:4">
      <c r="A250" s="236"/>
      <c r="B250" s="237"/>
      <c r="C250" s="237"/>
      <c r="D250" s="237"/>
    </row>
    <row r="251" spans="1:4">
      <c r="A251" s="236"/>
      <c r="B251" s="237"/>
      <c r="C251" s="237"/>
      <c r="D251" s="237"/>
    </row>
    <row r="252" spans="1:4">
      <c r="A252" s="236"/>
      <c r="B252" s="237"/>
      <c r="C252" s="237"/>
      <c r="D252" s="237"/>
    </row>
    <row r="253" spans="1:4">
      <c r="A253" s="236"/>
      <c r="B253" s="237"/>
      <c r="C253" s="237"/>
      <c r="D253" s="237"/>
    </row>
    <row r="254" spans="1:4">
      <c r="A254" s="236"/>
      <c r="B254" s="237"/>
      <c r="C254" s="237"/>
      <c r="D254" s="237"/>
    </row>
    <row r="255" spans="1:4">
      <c r="A255" s="236"/>
      <c r="B255" s="237"/>
      <c r="C255" s="237"/>
      <c r="D255" s="237"/>
    </row>
    <row r="256" spans="1:4">
      <c r="A256" s="236"/>
      <c r="B256" s="237"/>
      <c r="C256" s="237"/>
      <c r="D256" s="237"/>
    </row>
    <row r="257" spans="1:4">
      <c r="A257" s="236"/>
      <c r="B257" s="237"/>
      <c r="C257" s="237"/>
      <c r="D257" s="237"/>
    </row>
    <row r="258" spans="1:4">
      <c r="A258" s="236"/>
      <c r="B258" s="237"/>
      <c r="C258" s="237"/>
      <c r="D258" s="237"/>
    </row>
    <row r="259" spans="1:4">
      <c r="A259" s="236"/>
      <c r="B259" s="237"/>
      <c r="C259" s="237"/>
      <c r="D259" s="237"/>
    </row>
    <row r="260" spans="1:4">
      <c r="A260" s="236"/>
      <c r="B260" s="237"/>
      <c r="C260" s="237"/>
      <c r="D260" s="237"/>
    </row>
    <row r="261" spans="1:4">
      <c r="A261" s="236"/>
      <c r="B261" s="237"/>
      <c r="C261" s="237"/>
      <c r="D261" s="237"/>
    </row>
    <row r="262" spans="1:4">
      <c r="A262" s="236"/>
      <c r="B262" s="237"/>
      <c r="C262" s="237"/>
      <c r="D262" s="237"/>
    </row>
    <row r="263" spans="1:4">
      <c r="A263" s="236"/>
      <c r="B263" s="237"/>
      <c r="C263" s="237"/>
      <c r="D263" s="237"/>
    </row>
    <row r="264" spans="1:4">
      <c r="A264" s="236"/>
      <c r="B264" s="237"/>
      <c r="C264" s="237"/>
      <c r="D264" s="237"/>
    </row>
    <row r="265" spans="1:4">
      <c r="A265" s="236"/>
      <c r="B265" s="237"/>
      <c r="C265" s="237"/>
      <c r="D265" s="237"/>
    </row>
    <row r="266" spans="1:4">
      <c r="A266" s="236"/>
      <c r="B266" s="237"/>
      <c r="C266" s="237"/>
      <c r="D266" s="237"/>
    </row>
    <row r="267" spans="1:4">
      <c r="A267" s="236"/>
      <c r="B267" s="237"/>
      <c r="C267" s="237"/>
      <c r="D267" s="237"/>
    </row>
    <row r="268" spans="1:4">
      <c r="A268" s="236"/>
      <c r="B268" s="237"/>
      <c r="C268" s="237"/>
      <c r="D268" s="237"/>
    </row>
    <row r="269" spans="1:4">
      <c r="A269" s="236"/>
      <c r="B269" s="237"/>
      <c r="C269" s="237"/>
      <c r="D269" s="237"/>
    </row>
    <row r="270" spans="1:4">
      <c r="A270" s="236"/>
      <c r="B270" s="237"/>
      <c r="C270" s="237"/>
      <c r="D270" s="237"/>
    </row>
    <row r="271" spans="1:4">
      <c r="A271" s="236"/>
      <c r="B271" s="237"/>
      <c r="C271" s="237"/>
      <c r="D271" s="237"/>
    </row>
    <row r="272" spans="1:4">
      <c r="A272" s="236"/>
      <c r="B272" s="237"/>
      <c r="C272" s="237"/>
      <c r="D272" s="237"/>
    </row>
    <row r="273" spans="1:4">
      <c r="A273" s="236"/>
      <c r="B273" s="237"/>
      <c r="C273" s="237"/>
      <c r="D273" s="237"/>
    </row>
    <row r="274" spans="1:4">
      <c r="A274" s="236"/>
      <c r="B274" s="237"/>
      <c r="C274" s="237"/>
      <c r="D274" s="237"/>
    </row>
    <row r="275" spans="1:4">
      <c r="A275" s="236"/>
      <c r="B275" s="237"/>
      <c r="C275" s="237"/>
      <c r="D275" s="237"/>
    </row>
    <row r="276" spans="1:4">
      <c r="A276" s="238"/>
    </row>
    <row r="277" spans="1:4">
      <c r="A277" s="238"/>
    </row>
    <row r="278" spans="1:4">
      <c r="A278" s="238"/>
    </row>
    <row r="279" spans="1:4">
      <c r="A279" s="238"/>
    </row>
    <row r="280" spans="1:4">
      <c r="A280" s="238"/>
    </row>
    <row r="281" spans="1:4">
      <c r="A281" s="238"/>
    </row>
    <row r="282" spans="1:4">
      <c r="A282" s="238"/>
    </row>
    <row r="283" spans="1:4">
      <c r="A283" s="238"/>
    </row>
  </sheetData>
  <mergeCells count="12">
    <mergeCell ref="A1:B1"/>
    <mergeCell ref="E2:K2"/>
    <mergeCell ref="M2:S2"/>
    <mergeCell ref="M1:S1"/>
    <mergeCell ref="U1:AA1"/>
    <mergeCell ref="U2:AA2"/>
    <mergeCell ref="D1:K1"/>
    <mergeCell ref="AY1:BE1"/>
    <mergeCell ref="AY2:BE2"/>
    <mergeCell ref="BG1:BM1"/>
    <mergeCell ref="BG2:BM2"/>
    <mergeCell ref="AC1:AW1"/>
  </mergeCell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sheetPr codeName="Sheet4">
    <tabColor rgb="FF00B0F0"/>
  </sheetPr>
  <dimension ref="A2:M330"/>
  <sheetViews>
    <sheetView workbookViewId="0">
      <pane xSplit="2" ySplit="3" topLeftCell="D4" activePane="bottomRight" state="frozen"/>
      <selection pane="topRight" activeCell="D1" sqref="D1"/>
      <selection pane="bottomLeft" activeCell="A4" sqref="A4"/>
      <selection pane="bottomRight" activeCell="D51" sqref="D51"/>
    </sheetView>
  </sheetViews>
  <sheetFormatPr defaultRowHeight="12" outlineLevelRow="1"/>
  <cols>
    <col min="1" max="1" width="24.28515625" style="109" customWidth="1"/>
    <col min="2" max="2" width="12.42578125" style="109" customWidth="1"/>
    <col min="3" max="13" width="12.28515625" style="109" customWidth="1"/>
    <col min="14" max="14" width="9.140625" style="109" customWidth="1"/>
    <col min="15" max="16384" width="9.140625" style="109"/>
  </cols>
  <sheetData>
    <row r="2" spans="1:13">
      <c r="A2" s="239" t="s">
        <v>108</v>
      </c>
      <c r="B2" s="240">
        <f>Model_Mthly!A4</f>
        <v>40162</v>
      </c>
      <c r="C2" s="240">
        <f>Model_Mthly!A16</f>
        <v>40527</v>
      </c>
      <c r="D2" s="240">
        <f>Model_Mthly!A28</f>
        <v>40892</v>
      </c>
      <c r="E2" s="240">
        <f>Model_Mthly!A40</f>
        <v>41258</v>
      </c>
      <c r="F2" s="240">
        <f>Model_Mthly!A52</f>
        <v>41623</v>
      </c>
      <c r="G2" s="240">
        <f>Model_Mthly!A64</f>
        <v>41988</v>
      </c>
      <c r="H2" s="240">
        <f>Model_Mthly!A76</f>
        <v>42353</v>
      </c>
      <c r="I2" s="240">
        <f>Model_Mthly!A88</f>
        <v>42719</v>
      </c>
      <c r="J2" s="240">
        <f>Model_Mthly!A100</f>
        <v>43084</v>
      </c>
      <c r="K2" s="240">
        <f>Model_Mthly!A112</f>
        <v>43449</v>
      </c>
      <c r="L2" s="240">
        <f>Model_Mthly!A124</f>
        <v>43814</v>
      </c>
      <c r="M2" s="240">
        <f>Model_Mthly!A136</f>
        <v>44180</v>
      </c>
    </row>
    <row r="3" spans="1:13">
      <c r="A3" s="239" t="s">
        <v>109</v>
      </c>
      <c r="B3" s="182">
        <v>0</v>
      </c>
      <c r="C3" s="182">
        <f>B3+1</f>
        <v>1</v>
      </c>
      <c r="D3" s="182">
        <f>C3+1</f>
        <v>2</v>
      </c>
      <c r="E3" s="182">
        <f t="shared" ref="E3:M3" si="0">D3+1</f>
        <v>3</v>
      </c>
      <c r="F3" s="182">
        <f t="shared" si="0"/>
        <v>4</v>
      </c>
      <c r="G3" s="182">
        <f t="shared" si="0"/>
        <v>5</v>
      </c>
      <c r="H3" s="182">
        <f t="shared" si="0"/>
        <v>6</v>
      </c>
      <c r="I3" s="182">
        <f t="shared" si="0"/>
        <v>7</v>
      </c>
      <c r="J3" s="182">
        <f t="shared" si="0"/>
        <v>8</v>
      </c>
      <c r="K3" s="182">
        <f t="shared" si="0"/>
        <v>9</v>
      </c>
      <c r="L3" s="182">
        <f t="shared" si="0"/>
        <v>10</v>
      </c>
      <c r="M3" s="182">
        <f t="shared" si="0"/>
        <v>11</v>
      </c>
    </row>
    <row r="4" spans="1:13">
      <c r="C4" s="165"/>
      <c r="D4" s="165"/>
      <c r="E4" s="165"/>
      <c r="F4" s="165"/>
      <c r="G4" s="165"/>
      <c r="H4" s="165"/>
      <c r="I4" s="165"/>
      <c r="J4" s="165"/>
      <c r="K4" s="165"/>
      <c r="L4" s="165"/>
      <c r="M4" s="165"/>
    </row>
    <row r="5" spans="1:13">
      <c r="A5" s="241" t="s">
        <v>92</v>
      </c>
      <c r="B5" s="241"/>
      <c r="C5" s="165"/>
      <c r="D5" s="165"/>
      <c r="E5" s="165"/>
      <c r="F5" s="165"/>
      <c r="G5" s="165"/>
      <c r="H5" s="165"/>
      <c r="I5" s="165"/>
      <c r="J5" s="165"/>
      <c r="K5" s="165"/>
      <c r="L5" s="165"/>
      <c r="M5" s="165"/>
    </row>
    <row r="6" spans="1:13">
      <c r="A6" s="242" t="str">
        <f>Model_Mthly!C2</f>
        <v>Gross Rent</v>
      </c>
      <c r="B6" s="242"/>
      <c r="C6" s="165">
        <f>SUM(Model_Mthly!C5:C16)</f>
        <v>1920000</v>
      </c>
      <c r="D6" s="165">
        <f>SUM(Model_Mthly!C17:C28)</f>
        <v>1920000</v>
      </c>
      <c r="E6" s="165">
        <f>SUM(Model_Mthly!C29:C40)</f>
        <v>2246400</v>
      </c>
      <c r="F6" s="165">
        <f>SUM(Model_Mthly!C41:C52)</f>
        <v>2246400</v>
      </c>
      <c r="G6" s="165">
        <f>SUM(Model_Mthly!C53:C64)</f>
        <v>2628288</v>
      </c>
      <c r="H6" s="165">
        <f>SUM(Model_Mthly!C65:C76)</f>
        <v>2628288</v>
      </c>
      <c r="I6" s="165">
        <f>SUM(Model_Mthly!C77:C88)</f>
        <v>3075096.9600000004</v>
      </c>
      <c r="J6" s="165">
        <f>SUM(Model_Mthly!C89:C100)</f>
        <v>3075096.9600000004</v>
      </c>
      <c r="K6" s="165">
        <f>SUM(Model_Mthly!C101:C112)</f>
        <v>3597863.443200001</v>
      </c>
      <c r="L6" s="165">
        <f>SUM(Model_Mthly!C113:C124)</f>
        <v>3597863.443200001</v>
      </c>
      <c r="M6" s="165">
        <f>SUM(Model_Mthly!C125:C136)</f>
        <v>4209500.2285439996</v>
      </c>
    </row>
    <row r="7" spans="1:13">
      <c r="A7" s="242" t="str">
        <f>Model_Mthly!D2</f>
        <v>Vacancy &amp; Credit Loss</v>
      </c>
      <c r="B7" s="242"/>
      <c r="C7" s="165">
        <f>SUM(Model_Mthly!D5:D16)</f>
        <v>96000</v>
      </c>
      <c r="D7" s="165">
        <f>SUM(Model_Mthly!D17:D28)</f>
        <v>96000</v>
      </c>
      <c r="E7" s="165">
        <f>SUM(Model_Mthly!D29:D40)</f>
        <v>112320</v>
      </c>
      <c r="F7" s="165">
        <f>SUM(Model_Mthly!D41:D52)</f>
        <v>112320</v>
      </c>
      <c r="G7" s="165">
        <f>SUM(Model_Mthly!D53:D64)</f>
        <v>131414.39999999999</v>
      </c>
      <c r="H7" s="165">
        <f>SUM(Model_Mthly!D65:D76)</f>
        <v>131414.39999999999</v>
      </c>
      <c r="I7" s="165">
        <f>SUM(Model_Mthly!D77:D88)</f>
        <v>153754.84800000006</v>
      </c>
      <c r="J7" s="165">
        <f>SUM(Model_Mthly!D89:D100)</f>
        <v>153754.84800000006</v>
      </c>
      <c r="K7" s="165">
        <f>SUM(Model_Mthly!D101:D112)</f>
        <v>179893.17216000005</v>
      </c>
      <c r="L7" s="165">
        <f>SUM(Model_Mthly!D113:D124)</f>
        <v>179893.17216000005</v>
      </c>
      <c r="M7" s="165">
        <f>SUM(Model_Mthly!D125:D136)</f>
        <v>210475.01142719996</v>
      </c>
    </row>
    <row r="8" spans="1:13">
      <c r="C8" s="165"/>
      <c r="D8" s="165"/>
      <c r="E8" s="165"/>
      <c r="F8" s="165"/>
      <c r="G8" s="165"/>
      <c r="H8" s="165"/>
      <c r="I8" s="165"/>
      <c r="J8" s="165"/>
      <c r="K8" s="165"/>
      <c r="L8" s="165"/>
      <c r="M8" s="165"/>
    </row>
    <row r="9" spans="1:13">
      <c r="A9" s="241" t="str">
        <f>Model_Mthly!E2</f>
        <v>Gross Income</v>
      </c>
      <c r="B9" s="241"/>
      <c r="C9" s="243">
        <f>SUM(C6,-C7)</f>
        <v>1824000</v>
      </c>
      <c r="D9" s="243">
        <f>SUM(D6,-D7)</f>
        <v>1824000</v>
      </c>
      <c r="E9" s="243">
        <f t="shared" ref="E9:M9" si="1">SUM(E6,-E7)</f>
        <v>2134080</v>
      </c>
      <c r="F9" s="243">
        <f t="shared" si="1"/>
        <v>2134080</v>
      </c>
      <c r="G9" s="243">
        <f t="shared" si="1"/>
        <v>2496873.6</v>
      </c>
      <c r="H9" s="243">
        <f t="shared" si="1"/>
        <v>2496873.6</v>
      </c>
      <c r="I9" s="243">
        <f t="shared" si="1"/>
        <v>2921342.1120000002</v>
      </c>
      <c r="J9" s="243">
        <f t="shared" si="1"/>
        <v>2921342.1120000002</v>
      </c>
      <c r="K9" s="243">
        <f t="shared" si="1"/>
        <v>3417970.271040001</v>
      </c>
      <c r="L9" s="243">
        <f t="shared" si="1"/>
        <v>3417970.271040001</v>
      </c>
      <c r="M9" s="243">
        <f t="shared" si="1"/>
        <v>3999025.2171167997</v>
      </c>
    </row>
    <row r="10" spans="1:13">
      <c r="C10" s="165"/>
      <c r="D10" s="165"/>
      <c r="E10" s="165"/>
      <c r="F10" s="165"/>
      <c r="G10" s="165"/>
      <c r="H10" s="165"/>
      <c r="I10" s="165"/>
      <c r="J10" s="165"/>
      <c r="K10" s="165"/>
      <c r="L10" s="165"/>
      <c r="M10" s="165"/>
    </row>
    <row r="11" spans="1:13">
      <c r="A11" s="241" t="s">
        <v>93</v>
      </c>
      <c r="B11" s="241"/>
      <c r="C11" s="165"/>
      <c r="D11" s="165"/>
      <c r="E11" s="165"/>
      <c r="F11" s="165"/>
      <c r="G11" s="165"/>
      <c r="H11" s="165"/>
      <c r="I11" s="165"/>
      <c r="J11" s="165"/>
      <c r="K11" s="165"/>
      <c r="L11" s="165"/>
      <c r="M11" s="165"/>
    </row>
    <row r="12" spans="1:13">
      <c r="A12" s="242" t="str">
        <f>Model_Mthly!G2</f>
        <v>Property Tax</v>
      </c>
      <c r="B12" s="242"/>
      <c r="C12" s="165">
        <f>SUM(Model_Mthly!G5:G16)</f>
        <v>47000</v>
      </c>
      <c r="D12" s="165">
        <f>SUM(Model_Mthly!G17:G28)</f>
        <v>48644.999999999993</v>
      </c>
      <c r="E12" s="165">
        <f>SUM(Model_Mthly!G29:G40)</f>
        <v>50347.574999999997</v>
      </c>
      <c r="F12" s="165">
        <f>SUM(Model_Mthly!G41:G52)</f>
        <v>52109.740124999989</v>
      </c>
      <c r="G12" s="165">
        <f>SUM(Model_Mthly!G53:G64)</f>
        <v>53933.581029374982</v>
      </c>
      <c r="H12" s="165">
        <f>SUM(Model_Mthly!G65:G76)</f>
        <v>55821.256365403104</v>
      </c>
      <c r="I12" s="165">
        <f>SUM(Model_Mthly!G77:G88)</f>
        <v>57775.000338192214</v>
      </c>
      <c r="J12" s="165">
        <f>SUM(Model_Mthly!G89:G100)</f>
        <v>59797.125350028939</v>
      </c>
      <c r="K12" s="165">
        <f>SUM(Model_Mthly!G101:G112)</f>
        <v>61890.024737279935</v>
      </c>
      <c r="L12" s="165">
        <f>SUM(Model_Mthly!G113:G124)</f>
        <v>64056.175603084725</v>
      </c>
      <c r="M12" s="165">
        <f>SUM(Model_Mthly!G125:G136)</f>
        <v>66298.141749192684</v>
      </c>
    </row>
    <row r="13" spans="1:13">
      <c r="A13" s="242" t="str">
        <f>Model_Mthly!H2</f>
        <v>Insurance</v>
      </c>
      <c r="B13" s="242"/>
      <c r="C13" s="165">
        <f>SUM(Model_Mthly!H5:H16)</f>
        <v>12000</v>
      </c>
      <c r="D13" s="165">
        <f>SUM(Model_Mthly!H17:H28)</f>
        <v>12330.000000000002</v>
      </c>
      <c r="E13" s="165">
        <f>SUM(Model_Mthly!H29:H40)</f>
        <v>12669.075000000003</v>
      </c>
      <c r="F13" s="165">
        <f>SUM(Model_Mthly!H41:H52)</f>
        <v>13017.474562500001</v>
      </c>
      <c r="G13" s="165">
        <f>SUM(Model_Mthly!H53:H64)</f>
        <v>13375.455112968753</v>
      </c>
      <c r="H13" s="165">
        <f>SUM(Model_Mthly!H65:H76)</f>
        <v>13743.280128575396</v>
      </c>
      <c r="I13" s="165">
        <f>SUM(Model_Mthly!H77:H88)</f>
        <v>14121.220332111219</v>
      </c>
      <c r="J13" s="165">
        <f>SUM(Model_Mthly!H89:H100)</f>
        <v>14509.553891244277</v>
      </c>
      <c r="K13" s="165">
        <f>SUM(Model_Mthly!H101:H112)</f>
        <v>14908.566623253495</v>
      </c>
      <c r="L13" s="165">
        <f>SUM(Model_Mthly!H113:H124)</f>
        <v>15318.552205392969</v>
      </c>
      <c r="M13" s="165">
        <f>SUM(Model_Mthly!H125:H136)</f>
        <v>15739.812391041276</v>
      </c>
    </row>
    <row r="14" spans="1:13">
      <c r="A14" s="242" t="str">
        <f>Model_Mthly!I2</f>
        <v>Utilities</v>
      </c>
      <c r="B14" s="242"/>
      <c r="C14" s="165">
        <f>SUM(Model_Mthly!I5:I16)</f>
        <v>4050</v>
      </c>
      <c r="D14" s="165">
        <f>SUM(Model_Mthly!I17:I28)</f>
        <v>5531.625</v>
      </c>
      <c r="E14" s="165">
        <f>SUM(Model_Mthly!I29:I40)</f>
        <v>5711.4028124999986</v>
      </c>
      <c r="F14" s="165">
        <f>SUM(Model_Mthly!I41:I52)</f>
        <v>5897.0234039062489</v>
      </c>
      <c r="G14" s="165">
        <f>SUM(Model_Mthly!I53:I64)</f>
        <v>6088.6766645332027</v>
      </c>
      <c r="H14" s="165">
        <f>SUM(Model_Mthly!I65:I76)</f>
        <v>6286.5586561305299</v>
      </c>
      <c r="I14" s="165">
        <f>SUM(Model_Mthly!I77:I88)</f>
        <v>6490.8718124547722</v>
      </c>
      <c r="J14" s="165">
        <f>SUM(Model_Mthly!I89:I100)</f>
        <v>6701.8251463595543</v>
      </c>
      <c r="K14" s="165">
        <f>SUM(Model_Mthly!I101:I112)</f>
        <v>6919.6344636162376</v>
      </c>
      <c r="L14" s="165">
        <f>SUM(Model_Mthly!I113:I124)</f>
        <v>7144.5225836837653</v>
      </c>
      <c r="M14" s="165">
        <f>SUM(Model_Mthly!I125:I136)</f>
        <v>7376.7195676534902</v>
      </c>
    </row>
    <row r="15" spans="1:13">
      <c r="A15" s="242" t="str">
        <f>Model_Mthly!J2</f>
        <v>Advertising</v>
      </c>
      <c r="B15" s="242"/>
      <c r="C15" s="165">
        <f>SUM(Model_Mthly!J5:J16)</f>
        <v>11500</v>
      </c>
      <c r="D15" s="165">
        <f>SUM(Model_Mthly!J17:J28)</f>
        <v>12152.05</v>
      </c>
      <c r="E15" s="165">
        <f>SUM(Model_Mthly!J29:J40)</f>
        <v>12841.071234999999</v>
      </c>
      <c r="F15" s="165">
        <f>SUM(Model_Mthly!J41:J52)</f>
        <v>13569.1599740245</v>
      </c>
      <c r="G15" s="165">
        <f>SUM(Model_Mthly!J53:J64)</f>
        <v>14338.531344551688</v>
      </c>
      <c r="H15" s="165">
        <f>SUM(Model_Mthly!J65:J76)</f>
        <v>15151.52607178777</v>
      </c>
      <c r="I15" s="165">
        <f>SUM(Model_Mthly!J77:J88)</f>
        <v>16010.617600058134</v>
      </c>
      <c r="J15" s="165">
        <f>SUM(Model_Mthly!J89:J100)</f>
        <v>16918.419617981432</v>
      </c>
      <c r="K15" s="165">
        <f>SUM(Model_Mthly!J101:J112)</f>
        <v>17877.694010320978</v>
      </c>
      <c r="L15" s="165">
        <f>SUM(Model_Mthly!J113:J124)</f>
        <v>18891.359260706176</v>
      </c>
      <c r="M15" s="165">
        <f>SUM(Model_Mthly!J125:J136)</f>
        <v>19962.499330788218</v>
      </c>
    </row>
    <row r="16" spans="1:13">
      <c r="A16" s="242" t="str">
        <f>Model_Mthly!K2</f>
        <v>Other_1</v>
      </c>
      <c r="B16" s="242"/>
      <c r="C16" s="165">
        <f>SUM(Model_Mthly!K5:K16)</f>
        <v>4500</v>
      </c>
      <c r="D16" s="165">
        <f>SUM(Model_Mthly!K17:K28)</f>
        <v>4680</v>
      </c>
      <c r="E16" s="165">
        <f>SUM(Model_Mthly!K29:K40)</f>
        <v>4867.2000000000007</v>
      </c>
      <c r="F16" s="165">
        <f>SUM(Model_Mthly!K41:K52)</f>
        <v>5061.8880000000008</v>
      </c>
      <c r="G16" s="165">
        <f>SUM(Model_Mthly!K53:K64)</f>
        <v>5264.3635200000008</v>
      </c>
      <c r="H16" s="165">
        <f>SUM(Model_Mthly!K65:K76)</f>
        <v>5474.9380608000019</v>
      </c>
      <c r="I16" s="165">
        <f>SUM(Model_Mthly!K77:K88)</f>
        <v>5693.9355832320016</v>
      </c>
      <c r="J16" s="165">
        <f>SUM(Model_Mthly!K89:K100)</f>
        <v>5921.6930065612814</v>
      </c>
      <c r="K16" s="165">
        <f>SUM(Model_Mthly!K101:K112)</f>
        <v>6158.5607268237336</v>
      </c>
      <c r="L16" s="165">
        <f>SUM(Model_Mthly!K113:K124)</f>
        <v>6404.9031558966835</v>
      </c>
      <c r="M16" s="165">
        <f>SUM(Model_Mthly!K125:K136)</f>
        <v>6661.0992821325508</v>
      </c>
    </row>
    <row r="17" spans="1:13">
      <c r="A17" s="242" t="str">
        <f>Model_Mthly!L2</f>
        <v>Other_2</v>
      </c>
      <c r="B17" s="242"/>
      <c r="C17" s="165">
        <f>SUM(Model_Mthly!L5:L16)</f>
        <v>6600</v>
      </c>
      <c r="D17" s="165">
        <f>SUM(Model_Mthly!L17:L28)</f>
        <v>6765</v>
      </c>
      <c r="E17" s="165">
        <f>SUM(Model_Mthly!L29:L40)</f>
        <v>6934.125</v>
      </c>
      <c r="F17" s="165">
        <f>SUM(Model_Mthly!L41:L52)</f>
        <v>7107.4781249999987</v>
      </c>
      <c r="G17" s="165">
        <f>SUM(Model_Mthly!L53:L64)</f>
        <v>7285.1650781249991</v>
      </c>
      <c r="H17" s="165">
        <f>SUM(Model_Mthly!L65:L76)</f>
        <v>7467.2942050781212</v>
      </c>
      <c r="I17" s="165">
        <f>SUM(Model_Mthly!L77:L88)</f>
        <v>7653.9765602050766</v>
      </c>
      <c r="J17" s="165">
        <f>SUM(Model_Mthly!L89:L100)</f>
        <v>7845.3259742102045</v>
      </c>
      <c r="K17" s="165">
        <f>SUM(Model_Mthly!L101:L112)</f>
        <v>8041.4591235654552</v>
      </c>
      <c r="L17" s="165">
        <f>SUM(Model_Mthly!L113:L124)</f>
        <v>8242.495601654593</v>
      </c>
      <c r="M17" s="165">
        <f>SUM(Model_Mthly!L125:L136)</f>
        <v>8448.5579916959596</v>
      </c>
    </row>
    <row r="18" spans="1:13">
      <c r="A18" s="242" t="str">
        <f>Model_Mthly!M2</f>
        <v>Management Fee</v>
      </c>
      <c r="B18" s="242"/>
      <c r="C18" s="165">
        <f>SUM(Model_Mthly!M5:M16)</f>
        <v>12312</v>
      </c>
      <c r="D18" s="165">
        <f>SUM(Model_Mthly!M17:M28)</f>
        <v>16416</v>
      </c>
      <c r="E18" s="165">
        <f>SUM(Model_Mthly!M29:M40)</f>
        <v>19206.719999999998</v>
      </c>
      <c r="F18" s="165">
        <f>SUM(Model_Mthly!M41:M52)</f>
        <v>19206.719999999998</v>
      </c>
      <c r="G18" s="165">
        <f>SUM(Model_Mthly!M53:M64)</f>
        <v>22471.862399999998</v>
      </c>
      <c r="H18" s="165">
        <f>SUM(Model_Mthly!M65:M76)</f>
        <v>22471.862399999998</v>
      </c>
      <c r="I18" s="165">
        <f>SUM(Model_Mthly!M77:M88)</f>
        <v>26292.07900799999</v>
      </c>
      <c r="J18" s="165">
        <f>SUM(Model_Mthly!M89:M100)</f>
        <v>26292.07900799999</v>
      </c>
      <c r="K18" s="165">
        <f>SUM(Model_Mthly!M101:M112)</f>
        <v>30761.732439360003</v>
      </c>
      <c r="L18" s="165">
        <f>SUM(Model_Mthly!M113:M124)</f>
        <v>30761.732439360003</v>
      </c>
      <c r="M18" s="165">
        <f>SUM(Model_Mthly!M125:M136)</f>
        <v>35991.226954051199</v>
      </c>
    </row>
    <row r="19" spans="1:13">
      <c r="A19" s="242" t="str">
        <f>Model_Mthly!N2</f>
        <v>Repairs/ Maintenance</v>
      </c>
      <c r="B19" s="242"/>
      <c r="C19" s="165">
        <f>SUM(Model_Mthly!N5:N16)</f>
        <v>20064</v>
      </c>
      <c r="D19" s="165">
        <f>SUM(Model_Mthly!N17:N28)</f>
        <v>20064</v>
      </c>
      <c r="E19" s="165">
        <f>SUM(Model_Mthly!N29:N40)</f>
        <v>23474.87999999999</v>
      </c>
      <c r="F19" s="165">
        <f>SUM(Model_Mthly!N41:N52)</f>
        <v>23474.87999999999</v>
      </c>
      <c r="G19" s="165">
        <f>SUM(Model_Mthly!N53:N64)</f>
        <v>27465.6096</v>
      </c>
      <c r="H19" s="165">
        <f>SUM(Model_Mthly!N65:N76)</f>
        <v>27465.6096</v>
      </c>
      <c r="I19" s="165">
        <f>SUM(Model_Mthly!N77:N88)</f>
        <v>32134.763232000008</v>
      </c>
      <c r="J19" s="165">
        <f>SUM(Model_Mthly!N89:N100)</f>
        <v>32134.763232000008</v>
      </c>
      <c r="K19" s="165">
        <f>SUM(Model_Mthly!N101:N112)</f>
        <v>37597.672981439995</v>
      </c>
      <c r="L19" s="165">
        <f>SUM(Model_Mthly!N113:N124)</f>
        <v>37597.672981439995</v>
      </c>
      <c r="M19" s="165">
        <f>SUM(Model_Mthly!N125:N136)</f>
        <v>43989.277388284798</v>
      </c>
    </row>
    <row r="20" spans="1:13">
      <c r="A20" s="242" t="str">
        <f>Model_Mthly!O2</f>
        <v>Other_3</v>
      </c>
      <c r="B20" s="242"/>
      <c r="C20" s="165">
        <f>SUM(Model_Mthly!O5:O16)</f>
        <v>1945.6000000000001</v>
      </c>
      <c r="D20" s="165">
        <f>SUM(Model_Mthly!O17:O28)</f>
        <v>1945.6000000000001</v>
      </c>
      <c r="E20" s="165">
        <f>SUM(Model_Mthly!O29:O40)</f>
        <v>2276.3520000000003</v>
      </c>
      <c r="F20" s="165">
        <f>SUM(Model_Mthly!O41:O52)</f>
        <v>2276.3520000000003</v>
      </c>
      <c r="G20" s="165">
        <f>SUM(Model_Mthly!O53:O64)</f>
        <v>2663.3318399999998</v>
      </c>
      <c r="H20" s="165">
        <f>SUM(Model_Mthly!O65:O76)</f>
        <v>2663.3318399999998</v>
      </c>
      <c r="I20" s="165">
        <f>SUM(Model_Mthly!O77:O88)</f>
        <v>3116.0982528000004</v>
      </c>
      <c r="J20" s="165">
        <f>SUM(Model_Mthly!O89:O100)</f>
        <v>3116.0982528000004</v>
      </c>
      <c r="K20" s="165">
        <f>SUM(Model_Mthly!O101:O112)</f>
        <v>3645.8349557760002</v>
      </c>
      <c r="L20" s="165">
        <f>SUM(Model_Mthly!O113:O124)</f>
        <v>3645.8349557760002</v>
      </c>
      <c r="M20" s="165">
        <f>SUM(Model_Mthly!O125:O136)</f>
        <v>4265.6268982579204</v>
      </c>
    </row>
    <row r="21" spans="1:13">
      <c r="A21" s="241" t="str">
        <f>Model_Mthly!P2</f>
        <v>Total Operating Exp</v>
      </c>
      <c r="B21" s="241"/>
      <c r="C21" s="243">
        <f>SUM(C12:C20)</f>
        <v>119971.6</v>
      </c>
      <c r="D21" s="243">
        <f t="shared" ref="D21:M21" si="2">SUM(D12:D20)</f>
        <v>128529.27500000001</v>
      </c>
      <c r="E21" s="243">
        <f t="shared" si="2"/>
        <v>138328.4010475</v>
      </c>
      <c r="F21" s="243">
        <f t="shared" si="2"/>
        <v>141720.71619043074</v>
      </c>
      <c r="G21" s="243">
        <f t="shared" si="2"/>
        <v>152886.57658955365</v>
      </c>
      <c r="H21" s="243">
        <f t="shared" si="2"/>
        <v>156545.65732777491</v>
      </c>
      <c r="I21" s="243">
        <f t="shared" si="2"/>
        <v>169288.56271905341</v>
      </c>
      <c r="J21" s="243">
        <f t="shared" si="2"/>
        <v>173236.88347918569</v>
      </c>
      <c r="K21" s="243">
        <f t="shared" si="2"/>
        <v>187801.18006143585</v>
      </c>
      <c r="L21" s="243">
        <f t="shared" si="2"/>
        <v>192063.2487869949</v>
      </c>
      <c r="M21" s="243">
        <f t="shared" si="2"/>
        <v>208732.96155309805</v>
      </c>
    </row>
    <row r="22" spans="1:13">
      <c r="C22" s="165"/>
      <c r="D22" s="165"/>
      <c r="E22" s="165"/>
      <c r="F22" s="165"/>
      <c r="G22" s="165"/>
      <c r="H22" s="165"/>
      <c r="I22" s="165"/>
      <c r="J22" s="165"/>
      <c r="K22" s="165"/>
      <c r="L22" s="165"/>
      <c r="M22" s="165"/>
    </row>
    <row r="23" spans="1:13">
      <c r="A23" s="241" t="str">
        <f>Model_Mthly!Q2</f>
        <v>Net Operating Income (NOI)</v>
      </c>
      <c r="B23" s="241"/>
      <c r="C23" s="243">
        <f>SUM(C9,-C21)</f>
        <v>1704028.4</v>
      </c>
      <c r="D23" s="243">
        <f t="shared" ref="D23:M23" si="3">SUM(D9,-D21)</f>
        <v>1695470.7250000001</v>
      </c>
      <c r="E23" s="243">
        <f t="shared" si="3"/>
        <v>1995751.5989524999</v>
      </c>
      <c r="F23" s="243">
        <f t="shared" si="3"/>
        <v>1992359.2838095692</v>
      </c>
      <c r="G23" s="243">
        <f t="shared" si="3"/>
        <v>2343987.0234104465</v>
      </c>
      <c r="H23" s="243">
        <f t="shared" si="3"/>
        <v>2340327.9426722252</v>
      </c>
      <c r="I23" s="243">
        <f t="shared" si="3"/>
        <v>2752053.5492809466</v>
      </c>
      <c r="J23" s="243">
        <f t="shared" si="3"/>
        <v>2748105.2285208143</v>
      </c>
      <c r="K23" s="243">
        <f t="shared" si="3"/>
        <v>3230169.0909785652</v>
      </c>
      <c r="L23" s="243">
        <f t="shared" si="3"/>
        <v>3225907.0222530062</v>
      </c>
      <c r="M23" s="243">
        <f t="shared" si="3"/>
        <v>3790292.2555637015</v>
      </c>
    </row>
    <row r="24" spans="1:13">
      <c r="C24" s="165"/>
      <c r="D24" s="165"/>
      <c r="E24" s="165"/>
      <c r="F24" s="165"/>
      <c r="G24" s="165"/>
      <c r="H24" s="165"/>
      <c r="I24" s="165"/>
      <c r="J24" s="165"/>
      <c r="K24" s="165"/>
      <c r="L24" s="165"/>
      <c r="M24" s="165"/>
    </row>
    <row r="25" spans="1:13">
      <c r="A25" s="241" t="str">
        <f>Model_Mthly!S1</f>
        <v>Debt Service</v>
      </c>
      <c r="B25" s="241"/>
      <c r="C25" s="165"/>
      <c r="D25" s="165"/>
      <c r="E25" s="165"/>
      <c r="F25" s="165"/>
      <c r="G25" s="165"/>
      <c r="H25" s="165"/>
      <c r="I25" s="165"/>
      <c r="J25" s="165"/>
      <c r="K25" s="165"/>
      <c r="L25" s="165"/>
      <c r="M25" s="165"/>
    </row>
    <row r="26" spans="1:13">
      <c r="A26" s="242" t="str">
        <f>Model_Mthly!S2</f>
        <v>Mortgage Interest</v>
      </c>
      <c r="B26" s="242"/>
      <c r="C26" s="165">
        <f>SUM(Model_Mthly!S5:S16)</f>
        <v>519305.96253046591</v>
      </c>
      <c r="D26" s="165">
        <f>SUM(Model_Mthly!S17:S28)</f>
        <v>512087.2512655367</v>
      </c>
      <c r="E26" s="165">
        <f>SUM(Model_Mthly!S29:S40)</f>
        <v>504461.34794341202</v>
      </c>
      <c r="F26" s="165">
        <f>SUM(Model_Mthly!S41:S52)</f>
        <v>496405.28373137926</v>
      </c>
      <c r="G26" s="165">
        <f>SUM(Model_Mthly!S53:S64)</f>
        <v>487894.79417401733</v>
      </c>
      <c r="H26" s="165">
        <f>SUM(Model_Mthly!S65:S76)</f>
        <v>478904.24610989116</v>
      </c>
      <c r="I26" s="165">
        <f>SUM(Model_Mthly!S77:S88)</f>
        <v>469406.56046577427</v>
      </c>
      <c r="J26" s="165">
        <f>SUM(Model_Mthly!S89:S100)</f>
        <v>459373.13069585827</v>
      </c>
      <c r="K26" s="165">
        <f>SUM(Model_Mthly!S101:S112)</f>
        <v>448773.73662029294</v>
      </c>
      <c r="L26" s="165">
        <f>SUM(Model_Mthly!S113:S124)</f>
        <v>437576.45340354182</v>
      </c>
      <c r="M26" s="165"/>
    </row>
    <row r="27" spans="1:13">
      <c r="A27" s="242" t="str">
        <f>Model_Mthly!T2</f>
        <v>Mortgage Principal</v>
      </c>
      <c r="B27" s="242"/>
      <c r="C27" s="165">
        <f>SUM(Model_Mthly!T5:T16)</f>
        <v>127973.4990051169</v>
      </c>
      <c r="D27" s="165">
        <f>SUM(Model_Mthly!T17:T28)</f>
        <v>135192.21027004602</v>
      </c>
      <c r="E27" s="165">
        <f>SUM(Model_Mthly!T29:T40)</f>
        <v>142818.11359217076</v>
      </c>
      <c r="F27" s="165">
        <f>SUM(Model_Mthly!T41:T52)</f>
        <v>150874.17780420341</v>
      </c>
      <c r="G27" s="165">
        <f>SUM(Model_Mthly!T53:T64)</f>
        <v>159384.6673615654</v>
      </c>
      <c r="H27" s="165">
        <f>SUM(Model_Mthly!T65:T76)</f>
        <v>168375.2154256916</v>
      </c>
      <c r="I27" s="165">
        <f>SUM(Model_Mthly!T77:T88)</f>
        <v>177872.90106980852</v>
      </c>
      <c r="J27" s="165">
        <f>SUM(Model_Mthly!T89:T100)</f>
        <v>187906.33083972437</v>
      </c>
      <c r="K27" s="165">
        <f>SUM(Model_Mthly!T101:T112)</f>
        <v>198505.72491528981</v>
      </c>
      <c r="L27" s="165">
        <f>SUM(Model_Mthly!T113:T124)</f>
        <v>209703.00813204097</v>
      </c>
      <c r="M27" s="165"/>
    </row>
    <row r="28" spans="1:13">
      <c r="A28" s="241" t="str">
        <f>Model_Mthly!U2</f>
        <v>Debt Service Payment (P&amp;I)</v>
      </c>
      <c r="B28" s="241"/>
      <c r="C28" s="243">
        <f>SUM(C26:C27)</f>
        <v>647279.46153558278</v>
      </c>
      <c r="D28" s="243">
        <f t="shared" ref="D28:L28" si="4">SUM(D26:D27)</f>
        <v>647279.46153558278</v>
      </c>
      <c r="E28" s="243">
        <f t="shared" si="4"/>
        <v>647279.46153558278</v>
      </c>
      <c r="F28" s="243">
        <f t="shared" si="4"/>
        <v>647279.46153558267</v>
      </c>
      <c r="G28" s="243">
        <f t="shared" si="4"/>
        <v>647279.46153558278</v>
      </c>
      <c r="H28" s="243">
        <f t="shared" si="4"/>
        <v>647279.46153558278</v>
      </c>
      <c r="I28" s="243">
        <f t="shared" si="4"/>
        <v>647279.46153558278</v>
      </c>
      <c r="J28" s="243">
        <f t="shared" si="4"/>
        <v>647279.46153558267</v>
      </c>
      <c r="K28" s="243">
        <f t="shared" si="4"/>
        <v>647279.46153558278</v>
      </c>
      <c r="L28" s="243">
        <f t="shared" si="4"/>
        <v>647279.46153558278</v>
      </c>
      <c r="M28" s="165"/>
    </row>
    <row r="29" spans="1:13">
      <c r="C29" s="165"/>
      <c r="D29" s="165"/>
      <c r="E29" s="165"/>
      <c r="F29" s="165"/>
      <c r="G29" s="165"/>
      <c r="H29" s="165"/>
      <c r="I29" s="165"/>
      <c r="J29" s="165"/>
      <c r="K29" s="165"/>
      <c r="L29" s="165"/>
      <c r="M29" s="165"/>
    </row>
    <row r="30" spans="1:13">
      <c r="A30" s="241" t="str">
        <f>Model_Mthly!V2</f>
        <v>Mortgage Balance (o/s)</v>
      </c>
      <c r="C30" s="243">
        <f>Model_Mthly!V16</f>
        <v>9372026.5009948816</v>
      </c>
      <c r="D30" s="243">
        <f>Model_Mthly!V28</f>
        <v>9236834.2907248363</v>
      </c>
      <c r="E30" s="243">
        <f>Model_Mthly!V40</f>
        <v>9094016.1771326661</v>
      </c>
      <c r="F30" s="243">
        <f>Model_Mthly!V52</f>
        <v>8943141.9993284624</v>
      </c>
      <c r="G30" s="243">
        <f>Model_Mthly!V64</f>
        <v>8783757.3319668956</v>
      </c>
      <c r="H30" s="243">
        <f>Model_Mthly!V76</f>
        <v>8615382.1165412031</v>
      </c>
      <c r="I30" s="243">
        <f>Model_Mthly!V88</f>
        <v>8437509.2154713925</v>
      </c>
      <c r="J30" s="243">
        <f>Model_Mthly!V100</f>
        <v>8249602.8846316691</v>
      </c>
      <c r="K30" s="243">
        <f>Model_Mthly!V112</f>
        <v>8051097.1597163798</v>
      </c>
      <c r="L30" s="243">
        <f>Model_Mthly!V124</f>
        <v>7841394.1515843393</v>
      </c>
      <c r="M30" s="165"/>
    </row>
    <row r="31" spans="1:13">
      <c r="C31" s="165"/>
      <c r="D31" s="165"/>
      <c r="E31" s="165"/>
      <c r="F31" s="165"/>
      <c r="G31" s="165"/>
      <c r="H31" s="165"/>
      <c r="I31" s="165"/>
      <c r="J31" s="165"/>
      <c r="K31" s="165"/>
      <c r="L31" s="165"/>
      <c r="M31" s="165"/>
    </row>
    <row r="32" spans="1:13">
      <c r="A32" s="241" t="str">
        <f>Model_Mthly!X1</f>
        <v>Terminal Value</v>
      </c>
      <c r="B32" s="241"/>
      <c r="C32" s="165"/>
      <c r="D32" s="165"/>
      <c r="E32" s="165"/>
      <c r="F32" s="165"/>
      <c r="G32" s="165"/>
      <c r="H32" s="165"/>
      <c r="I32" s="165"/>
      <c r="J32" s="165"/>
      <c r="K32" s="165"/>
      <c r="L32" s="165"/>
      <c r="M32" s="165"/>
    </row>
    <row r="33" spans="1:13">
      <c r="A33" s="242" t="str">
        <f>Model_Mthly!X2</f>
        <v>Appreciation</v>
      </c>
      <c r="C33" s="165">
        <f>SUM(Model_Mthly!X5:X16)</f>
        <v>1035000</v>
      </c>
      <c r="D33" s="165">
        <f>SUM(Model_Mthly!X17:X28)</f>
        <v>1086750</v>
      </c>
      <c r="E33" s="165">
        <f>SUM(Model_Mthly!X29:X40)</f>
        <v>1141087.5</v>
      </c>
      <c r="F33" s="165">
        <f>SUM(Model_Mthly!X41:X52)</f>
        <v>1198141.875</v>
      </c>
      <c r="G33" s="165">
        <f>SUM(Model_Mthly!X53:X64)</f>
        <v>1258048.96875</v>
      </c>
      <c r="H33" s="165">
        <f>SUM(Model_Mthly!X65:X76)</f>
        <v>1320951.4171874998</v>
      </c>
      <c r="I33" s="165">
        <f>SUM(Model_Mthly!X77:X88)</f>
        <v>1386998.988046875</v>
      </c>
      <c r="J33" s="165">
        <f>SUM(Model_Mthly!X89:X100)</f>
        <v>1456348.9374492187</v>
      </c>
      <c r="K33" s="165">
        <f>SUM(Model_Mthly!X101:X112)</f>
        <v>1529166.3843216796</v>
      </c>
      <c r="L33" s="165">
        <f>SUM(Model_Mthly!X113:X124)</f>
        <v>1605624.7035377638</v>
      </c>
      <c r="M33" s="165"/>
    </row>
    <row r="34" spans="1:13">
      <c r="A34" s="242" t="str">
        <f>Model_Mthly!Y2</f>
        <v>Mkt Value - Appreciated</v>
      </c>
      <c r="C34" s="165">
        <f>Model_Mthly!Y16</f>
        <v>20865600</v>
      </c>
      <c r="D34" s="165">
        <f>Model_Mthly!Y28</f>
        <v>21908880</v>
      </c>
      <c r="E34" s="165">
        <f>Model_Mthly!Y40</f>
        <v>23004324</v>
      </c>
      <c r="F34" s="165">
        <f>Model_Mthly!Y52</f>
        <v>24154540.200000018</v>
      </c>
      <c r="G34" s="165">
        <f>Model_Mthly!Y64</f>
        <v>25362267.210000023</v>
      </c>
      <c r="H34" s="165">
        <f>Model_Mthly!Y76</f>
        <v>26630380.570500031</v>
      </c>
      <c r="I34" s="165">
        <f>Model_Mthly!Y88</f>
        <v>27961899.599025026</v>
      </c>
      <c r="J34" s="165">
        <f>Model_Mthly!Y100</f>
        <v>29359994.578976288</v>
      </c>
      <c r="K34" s="165">
        <f>Model_Mthly!Y112</f>
        <v>30827994.307925105</v>
      </c>
      <c r="L34" s="165">
        <f>Model_Mthly!Y124</f>
        <v>32369394.02332136</v>
      </c>
      <c r="M34" s="165"/>
    </row>
    <row r="35" spans="1:13">
      <c r="A35" s="242" t="str">
        <f>Model_Mthly!Z2</f>
        <v xml:space="preserve">Mkt Value - Cap Rate </v>
      </c>
      <c r="C35" s="165">
        <f>Model_Mthly!Z16</f>
        <v>20345648.699999999</v>
      </c>
      <c r="D35" s="165">
        <f>Model_Mthly!Z28</f>
        <v>23949019.187429994</v>
      </c>
      <c r="E35" s="165">
        <f>Model_Mthly!Z40</f>
        <v>23908311.405714832</v>
      </c>
      <c r="F35" s="165">
        <f>Model_Mthly!Z52</f>
        <v>28127844.280925356</v>
      </c>
      <c r="G35" s="165">
        <f>Model_Mthly!Z64</f>
        <v>28083935.312066693</v>
      </c>
      <c r="H35" s="165">
        <f>Model_Mthly!Z76</f>
        <v>33024642.591371361</v>
      </c>
      <c r="I35" s="165">
        <f>Model_Mthly!Z88</f>
        <v>32977262.742249761</v>
      </c>
      <c r="J35" s="165">
        <f>Model_Mthly!Z100</f>
        <v>38762029.091742761</v>
      </c>
      <c r="K35" s="165">
        <f>Model_Mthly!Z112</f>
        <v>38710884.267036058</v>
      </c>
      <c r="L35" s="165">
        <f>Model_Mthly!Z124</f>
        <v>45483507.066764407</v>
      </c>
      <c r="M35" s="165"/>
    </row>
    <row r="36" spans="1:13">
      <c r="A36" s="244" t="str">
        <f>Model_Mthly!AA2</f>
        <v>Terminal Value before Tax</v>
      </c>
      <c r="B36" s="245" t="str">
        <f>Model_Mthly!AA3</f>
        <v>Option 2</v>
      </c>
      <c r="C36" s="243">
        <f ca="1">Model_Mthly!AA16</f>
        <v>20345648.699999999</v>
      </c>
      <c r="D36" s="243">
        <f ca="1">Model_Mthly!AA28</f>
        <v>23949019.187429994</v>
      </c>
      <c r="E36" s="243">
        <f ca="1">Model_Mthly!AA40</f>
        <v>23908311.405714832</v>
      </c>
      <c r="F36" s="243">
        <f ca="1">Model_Mthly!AA52</f>
        <v>28127844.280925356</v>
      </c>
      <c r="G36" s="243">
        <f ca="1">Model_Mthly!AA64</f>
        <v>28083935.312066693</v>
      </c>
      <c r="H36" s="243">
        <f ca="1">Model_Mthly!AA76</f>
        <v>33024642.591371361</v>
      </c>
      <c r="I36" s="243">
        <f ca="1">Model_Mthly!AA88</f>
        <v>32977262.742249761</v>
      </c>
      <c r="J36" s="243">
        <f ca="1">Model_Mthly!AA100</f>
        <v>38762029.091742761</v>
      </c>
      <c r="K36" s="243">
        <f ca="1">Model_Mthly!AA112</f>
        <v>38710884.267036058</v>
      </c>
      <c r="L36" s="243">
        <f ca="1">Model_Mthly!AA124</f>
        <v>45483507.066764407</v>
      </c>
      <c r="M36" s="165"/>
    </row>
    <row r="37" spans="1:13">
      <c r="C37" s="165"/>
      <c r="D37" s="165"/>
      <c r="E37" s="165"/>
      <c r="F37" s="165"/>
      <c r="G37" s="165"/>
      <c r="H37" s="165"/>
      <c r="I37" s="165"/>
      <c r="J37" s="165"/>
      <c r="K37" s="165"/>
      <c r="L37" s="165"/>
      <c r="M37" s="165"/>
    </row>
    <row r="38" spans="1:13">
      <c r="A38" s="241" t="str">
        <f>Model_Mthly!AC1</f>
        <v>Income Tax</v>
      </c>
      <c r="C38" s="165"/>
      <c r="D38" s="165"/>
      <c r="E38" s="165"/>
      <c r="F38" s="165"/>
      <c r="G38" s="165"/>
      <c r="H38" s="165"/>
      <c r="I38" s="165"/>
      <c r="J38" s="165"/>
      <c r="K38" s="165"/>
      <c r="L38" s="165"/>
      <c r="M38" s="165"/>
    </row>
    <row r="39" spans="1:13">
      <c r="A39" s="242" t="str">
        <f>Model_Mthly!AC2</f>
        <v>Depreciation</v>
      </c>
      <c r="C39" s="165">
        <f>SUM(Model_Mthly!AC5:AC16)</f>
        <v>318461.5384615385</v>
      </c>
      <c r="D39" s="165">
        <f>SUM(Model_Mthly!AC17:AC28)</f>
        <v>318461.5384615385</v>
      </c>
      <c r="E39" s="165">
        <f>SUM(Model_Mthly!AC29:AC40)</f>
        <v>318461.5384615385</v>
      </c>
      <c r="F39" s="165">
        <f>SUM(Model_Mthly!AC41:AC52)</f>
        <v>318461.5384615385</v>
      </c>
      <c r="G39" s="165">
        <f>SUM(Model_Mthly!AC53:AC64)</f>
        <v>318461.5384615385</v>
      </c>
      <c r="H39" s="165">
        <f>SUM(Model_Mthly!AC65:AC76)</f>
        <v>318461.5384615385</v>
      </c>
      <c r="I39" s="165">
        <f>SUM(Model_Mthly!AC77:AC88)</f>
        <v>318461.5384615385</v>
      </c>
      <c r="J39" s="165">
        <f>SUM(Model_Mthly!AC89:AC100)</f>
        <v>318461.5384615385</v>
      </c>
      <c r="K39" s="165">
        <f>SUM(Model_Mthly!AC101:AC112)</f>
        <v>318461.5384615385</v>
      </c>
      <c r="L39" s="165">
        <f>SUM(Model_Mthly!AC113:AC124)</f>
        <v>318461.5384615385</v>
      </c>
      <c r="M39" s="165"/>
    </row>
    <row r="40" spans="1:13">
      <c r="A40" s="242" t="str">
        <f>Model_Mthly!AD2</f>
        <v>Taxable Income</v>
      </c>
      <c r="C40" s="165">
        <f>SUM(Model_Mthly!AD5:AD16)</f>
        <v>866260.89900799573</v>
      </c>
      <c r="D40" s="165">
        <f>SUM(Model_Mthly!AD17:AD28)</f>
        <v>864921.93527292495</v>
      </c>
      <c r="E40" s="165">
        <f>SUM(Model_Mthly!AD29:AD40)</f>
        <v>1172828.7125475495</v>
      </c>
      <c r="F40" s="165">
        <f>SUM(Model_Mthly!AD41:AD52)</f>
        <v>1177492.4616166516</v>
      </c>
      <c r="G40" s="165">
        <f>SUM(Model_Mthly!AD53:AD64)</f>
        <v>1537630.6907748906</v>
      </c>
      <c r="H40" s="165">
        <f>SUM(Model_Mthly!AD65:AD76)</f>
        <v>1542962.1581007952</v>
      </c>
      <c r="I40" s="165">
        <f>SUM(Model_Mthly!AD77:AD88)</f>
        <v>1964185.4503536338</v>
      </c>
      <c r="J40" s="165">
        <f>SUM(Model_Mthly!AD89:AD100)</f>
        <v>1970270.5593634178</v>
      </c>
      <c r="K40" s="165">
        <f>SUM(Model_Mthly!AD101:AD112)</f>
        <v>2462933.8158967327</v>
      </c>
      <c r="L40" s="165">
        <f>SUM(Model_Mthly!AD113:AD124)</f>
        <v>2469869.030387925</v>
      </c>
      <c r="M40" s="165"/>
    </row>
    <row r="41" spans="1:13">
      <c r="A41" s="244" t="str">
        <f>Model_Mthly!AE2</f>
        <v>Income Tax (Tax Benefit)</v>
      </c>
      <c r="C41" s="243">
        <f>SUM(Model_Mthly!AE5:AE16)</f>
        <v>259878.26970239871</v>
      </c>
      <c r="D41" s="243">
        <f>SUM(Model_Mthly!AE17:AE28)</f>
        <v>259476.58058187747</v>
      </c>
      <c r="E41" s="243">
        <f>SUM(Model_Mthly!AE29:AE40)</f>
        <v>351848.61376426491</v>
      </c>
      <c r="F41" s="243">
        <f>SUM(Model_Mthly!AE41:AE52)</f>
        <v>353247.73848499544</v>
      </c>
      <c r="G41" s="243">
        <f>SUM(Model_Mthly!AE53:AE64)</f>
        <v>461289.20723246713</v>
      </c>
      <c r="H41" s="243">
        <f>SUM(Model_Mthly!AE65:AE76)</f>
        <v>462888.64743023855</v>
      </c>
      <c r="I41" s="243">
        <f>SUM(Model_Mthly!AE77:AE88)</f>
        <v>589255.63510609011</v>
      </c>
      <c r="J41" s="243">
        <f>SUM(Model_Mthly!AE89:AE100)</f>
        <v>591081.16780902527</v>
      </c>
      <c r="K41" s="243">
        <f>SUM(Model_Mthly!AE101:AE112)</f>
        <v>738880.14476901968</v>
      </c>
      <c r="L41" s="243">
        <f>SUM(Model_Mthly!AE113:AE124)</f>
        <v>740960.70911637729</v>
      </c>
      <c r="M41" s="165"/>
    </row>
    <row r="42" spans="1:13">
      <c r="C42" s="165"/>
      <c r="D42" s="165"/>
      <c r="E42" s="165"/>
      <c r="F42" s="165"/>
      <c r="G42" s="165"/>
      <c r="H42" s="165"/>
      <c r="I42" s="165"/>
      <c r="J42" s="165"/>
      <c r="K42" s="165"/>
      <c r="L42" s="165"/>
      <c r="M42" s="165"/>
    </row>
    <row r="43" spans="1:13">
      <c r="A43" s="241" t="str">
        <f>Model_Mthly!AF1</f>
        <v>Capital Gains Tax</v>
      </c>
      <c r="C43" s="165"/>
      <c r="D43" s="165"/>
      <c r="E43" s="165"/>
      <c r="F43" s="165"/>
      <c r="G43" s="165"/>
      <c r="H43" s="165"/>
      <c r="I43" s="165"/>
      <c r="J43" s="165"/>
      <c r="K43" s="165"/>
      <c r="L43" s="165"/>
      <c r="M43" s="165"/>
    </row>
    <row r="44" spans="1:13">
      <c r="A44" s="242" t="str">
        <f>Model_Mthly!AF2</f>
        <v>Capital Gains</v>
      </c>
      <c r="C44" s="165">
        <f ca="1">Model_Mthly!AF16</f>
        <v>-35889.761538460851</v>
      </c>
      <c r="D44" s="165">
        <f ca="1">Model_Mthly!AF28</f>
        <v>3885942.2643530704</v>
      </c>
      <c r="E44" s="165">
        <f ca="1">Model_Mthly!AF40</f>
        <v>4163696.0210994482</v>
      </c>
      <c r="F44" s="165">
        <f ca="1">Model_Mthly!AF52</f>
        <v>8701690.434771508</v>
      </c>
      <c r="G44" s="165">
        <f ca="1">Model_Mthly!AF64</f>
        <v>8976243.0043743849</v>
      </c>
      <c r="H44" s="165">
        <f ca="1">Model_Mthly!AF76</f>
        <v>14235411.822140589</v>
      </c>
      <c r="I44" s="165">
        <f ca="1">Model_Mthly!AF88</f>
        <v>14506493.511480529</v>
      </c>
      <c r="J44" s="165">
        <f ca="1">Model_Mthly!AF100</f>
        <v>20609721.399435066</v>
      </c>
      <c r="K44" s="165">
        <f ca="1">Model_Mthly!AF112</f>
        <v>20877038.113189902</v>
      </c>
      <c r="L44" s="165">
        <f ca="1">Model_Mthly!AF124</f>
        <v>27968122.451379787</v>
      </c>
      <c r="M44" s="165"/>
    </row>
    <row r="45" spans="1:13">
      <c r="A45" s="244" t="str">
        <f>Model_Mthly!AG2</f>
        <v>Cap Gains Tax (Tax Benefit)</v>
      </c>
      <c r="C45" s="243">
        <f ca="1">Model_Mthly!AG16</f>
        <v>-7177.9523076921705</v>
      </c>
      <c r="D45" s="243">
        <f ca="1">Model_Mthly!AG28</f>
        <v>777188.45287061413</v>
      </c>
      <c r="E45" s="243">
        <f ca="1">Model_Mthly!AG40</f>
        <v>832739.20421988971</v>
      </c>
      <c r="F45" s="243">
        <f ca="1">Model_Mthly!AG52</f>
        <v>1740338.0869543017</v>
      </c>
      <c r="G45" s="243">
        <f ca="1">Model_Mthly!AG64</f>
        <v>1795248.6008748771</v>
      </c>
      <c r="H45" s="243">
        <f ca="1">Model_Mthly!AG76</f>
        <v>2847082.3644281179</v>
      </c>
      <c r="I45" s="243">
        <f ca="1">Model_Mthly!AG88</f>
        <v>2901298.7022961061</v>
      </c>
      <c r="J45" s="243">
        <f ca="1">Model_Mthly!AG100</f>
        <v>4121944.2798870131</v>
      </c>
      <c r="K45" s="243">
        <f ca="1">Model_Mthly!AG112</f>
        <v>4175407.6226379806</v>
      </c>
      <c r="L45" s="243">
        <f ca="1">Model_Mthly!AG124</f>
        <v>5593624.4902759576</v>
      </c>
      <c r="M45" s="165"/>
    </row>
    <row r="46" spans="1:13">
      <c r="C46" s="165"/>
      <c r="D46" s="165"/>
      <c r="E46" s="165"/>
      <c r="F46" s="165"/>
      <c r="G46" s="165"/>
      <c r="H46" s="165"/>
      <c r="I46" s="165"/>
      <c r="J46" s="165"/>
      <c r="K46" s="165"/>
      <c r="L46" s="165"/>
      <c r="M46" s="165"/>
    </row>
    <row r="47" spans="1:13">
      <c r="A47" s="241" t="str">
        <f>Model_Mthly!AH2</f>
        <v>Terminal Value after CG Tax</v>
      </c>
      <c r="C47" s="243">
        <f ca="1">Model_Mthly!AH16</f>
        <v>20352826.652307693</v>
      </c>
      <c r="D47" s="243">
        <f ca="1">Model_Mthly!AH28</f>
        <v>23171830.73455938</v>
      </c>
      <c r="E47" s="243">
        <f ca="1">Model_Mthly!AH40</f>
        <v>23075572.201494943</v>
      </c>
      <c r="F47" s="243">
        <f ca="1">Model_Mthly!AH52</f>
        <v>26387506.193971053</v>
      </c>
      <c r="G47" s="243">
        <f ca="1">Model_Mthly!AH64</f>
        <v>26288686.711191814</v>
      </c>
      <c r="H47" s="243">
        <f ca="1">Model_Mthly!AH76</f>
        <v>30177560.226943243</v>
      </c>
      <c r="I47" s="243">
        <f ca="1">Model_Mthly!AH88</f>
        <v>30075964.039953656</v>
      </c>
      <c r="J47" s="243">
        <f ca="1">Model_Mthly!AH100</f>
        <v>34640084.811855748</v>
      </c>
      <c r="K47" s="243">
        <f ca="1">Model_Mthly!AH112</f>
        <v>34535476.644398078</v>
      </c>
      <c r="L47" s="243">
        <f ca="1">Model_Mthly!AH124</f>
        <v>39889882.57648845</v>
      </c>
      <c r="M47" s="165"/>
    </row>
    <row r="48" spans="1:13">
      <c r="A48" s="241"/>
      <c r="C48" s="165"/>
      <c r="D48" s="165"/>
      <c r="E48" s="165"/>
      <c r="F48" s="165"/>
      <c r="G48" s="165"/>
      <c r="H48" s="165"/>
      <c r="I48" s="165"/>
      <c r="J48" s="165"/>
      <c r="K48" s="165"/>
      <c r="L48" s="165"/>
      <c r="M48" s="165"/>
    </row>
    <row r="49" spans="1:13">
      <c r="A49" s="310" t="s">
        <v>121</v>
      </c>
      <c r="B49" s="246"/>
      <c r="C49" s="247"/>
      <c r="D49" s="247"/>
      <c r="E49" s="247"/>
      <c r="F49" s="247"/>
      <c r="G49" s="247"/>
      <c r="H49" s="247"/>
      <c r="I49" s="247"/>
      <c r="J49" s="247"/>
      <c r="K49" s="247"/>
      <c r="L49" s="248"/>
      <c r="M49" s="165"/>
    </row>
    <row r="50" spans="1:13">
      <c r="A50" s="249"/>
      <c r="B50" s="250"/>
      <c r="C50" s="251"/>
      <c r="D50" s="251"/>
      <c r="E50" s="251"/>
      <c r="F50" s="251"/>
      <c r="G50" s="251"/>
      <c r="H50" s="251"/>
      <c r="I50" s="251"/>
      <c r="J50" s="251"/>
      <c r="K50" s="251"/>
      <c r="L50" s="252"/>
      <c r="M50" s="165"/>
    </row>
    <row r="51" spans="1:13">
      <c r="A51" s="253" t="str">
        <f>Model_Mthly!AJ1</f>
        <v>Annual Returns &amp; Ratios</v>
      </c>
      <c r="B51" s="133"/>
      <c r="C51" s="254"/>
      <c r="D51" s="254"/>
      <c r="E51" s="254"/>
      <c r="F51" s="254"/>
      <c r="G51" s="254"/>
      <c r="H51" s="254"/>
      <c r="I51" s="254"/>
      <c r="J51" s="254"/>
      <c r="K51" s="254"/>
      <c r="L51" s="255"/>
      <c r="M51" s="165"/>
    </row>
    <row r="52" spans="1:13" hidden="1" outlineLevel="1">
      <c r="A52" s="256" t="str">
        <f>Model_Mthly!AJ2</f>
        <v>Net Gain in Cap Value</v>
      </c>
      <c r="B52" s="257"/>
      <c r="C52" s="231">
        <f ca="1">Model_Mthly!AJ16</f>
        <v>-347173.34769230708</v>
      </c>
      <c r="D52" s="231">
        <f ca="1">Model_Mthly!AJ28</f>
        <v>2471830.7345593795</v>
      </c>
      <c r="E52" s="231">
        <f ca="1">Model_Mthly!AJ40</f>
        <v>2375572.2014949434</v>
      </c>
      <c r="F52" s="231">
        <f ca="1">Model_Mthly!AJ52</f>
        <v>5687506.1939710528</v>
      </c>
      <c r="G52" s="231">
        <f ca="1">Model_Mthly!AJ64</f>
        <v>5588686.7111918144</v>
      </c>
      <c r="H52" s="231">
        <f ca="1">Model_Mthly!AJ76</f>
        <v>9477560.2269432433</v>
      </c>
      <c r="I52" s="231">
        <f ca="1">Model_Mthly!AJ88</f>
        <v>9375964.0399536565</v>
      </c>
      <c r="J52" s="231">
        <f ca="1">Model_Mthly!AJ100</f>
        <v>13940084.811855748</v>
      </c>
      <c r="K52" s="231">
        <f ca="1">Model_Mthly!AJ112</f>
        <v>13835476.644398078</v>
      </c>
      <c r="L52" s="231">
        <f ca="1">Model_Mthly!AJ124</f>
        <v>19189882.57648845</v>
      </c>
      <c r="M52" s="165"/>
    </row>
    <row r="53" spans="1:13" hidden="1" outlineLevel="1">
      <c r="A53" s="256" t="str">
        <f>Model_Mthly!AK2</f>
        <v>Total Return</v>
      </c>
      <c r="B53" s="143"/>
      <c r="C53" s="149">
        <f ca="1">Model_Mthly!AK16</f>
        <v>577670.82007482834</v>
      </c>
      <c r="D53" s="149">
        <f ca="1">Model_Mthly!AK28</f>
        <v>3395737.6277119652</v>
      </c>
      <c r="E53" s="149">
        <f ca="1">Model_Mthly!AK40</f>
        <v>3515013.8387397658</v>
      </c>
      <c r="F53" s="149">
        <f ca="1">Model_Mthly!AK52</f>
        <v>6830212.4555642474</v>
      </c>
      <c r="G53" s="149">
        <f ca="1">Model_Mthly!AK64</f>
        <v>6983489.7331957761</v>
      </c>
      <c r="H53" s="149">
        <f ca="1">Model_Mthly!AK76</f>
        <v>10876095.276075339</v>
      </c>
      <c r="I53" s="149">
        <f ca="1">Model_Mthly!AK88</f>
        <v>11069355.39366274</v>
      </c>
      <c r="J53" s="149">
        <f ca="1">Model_Mthly!AK100</f>
        <v>15637735.741871677</v>
      </c>
      <c r="K53" s="149">
        <f ca="1">Model_Mthly!AK112</f>
        <v>15877991.853987329</v>
      </c>
      <c r="L53" s="149">
        <f ca="1">Model_Mthly!AK124</f>
        <v>21237252.436221536</v>
      </c>
      <c r="M53" s="165"/>
    </row>
    <row r="54" spans="1:13" collapsed="1">
      <c r="A54" s="258" t="str">
        <f>Model_Mthly!AL2</f>
        <v>ROI (after Tax)</v>
      </c>
      <c r="B54" s="143"/>
      <c r="C54" s="306">
        <f t="shared" ref="C54:L54" ca="1" si="5">IF(down_payment&lt;=0,"N/A",C53/down_payment)</f>
        <v>5.157775179239539E-2</v>
      </c>
      <c r="D54" s="306">
        <f t="shared" ca="1" si="5"/>
        <v>0.30319085961713976</v>
      </c>
      <c r="E54" s="306">
        <f t="shared" ca="1" si="5"/>
        <v>0.3138405213160505</v>
      </c>
      <c r="F54" s="306">
        <f t="shared" ca="1" si="5"/>
        <v>0.6098403978182364</v>
      </c>
      <c r="G54" s="306">
        <f t="shared" ca="1" si="5"/>
        <v>0.62352586903533713</v>
      </c>
      <c r="H54" s="306">
        <f t="shared" ca="1" si="5"/>
        <v>0.9710799353638695</v>
      </c>
      <c r="I54" s="306">
        <f t="shared" ca="1" si="5"/>
        <v>0.9883353030056018</v>
      </c>
      <c r="J54" s="306">
        <f t="shared" ca="1" si="5"/>
        <v>1.3962264055242568</v>
      </c>
      <c r="K54" s="306">
        <f t="shared" ca="1" si="5"/>
        <v>1.4176778441060114</v>
      </c>
      <c r="L54" s="306">
        <f t="shared" ca="1" si="5"/>
        <v>1.8961832532340657</v>
      </c>
      <c r="M54" s="165"/>
    </row>
    <row r="55" spans="1:13">
      <c r="A55" s="258" t="str">
        <f>Model_Mthly!AM2</f>
        <v>Cash on Cash Return</v>
      </c>
      <c r="B55" s="143"/>
      <c r="C55" s="306">
        <f t="shared" ref="C55:L55" si="6">IF(down_payment&lt;=0,"N/A",(C23-C28)/down_payment)</f>
        <v>9.4352583791465813E-2</v>
      </c>
      <c r="D55" s="306">
        <f t="shared" si="6"/>
        <v>9.3588505666465829E-2</v>
      </c>
      <c r="E55" s="306">
        <f t="shared" si="6"/>
        <v>0.12039929798365331</v>
      </c>
      <c r="F55" s="306">
        <f t="shared" si="6"/>
        <v>0.12009641270303451</v>
      </c>
      <c r="G55" s="306">
        <f t="shared" si="6"/>
        <v>0.15149174659596998</v>
      </c>
      <c r="H55" s="306">
        <f t="shared" si="6"/>
        <v>0.15116504295862879</v>
      </c>
      <c r="I55" s="306">
        <f t="shared" si="6"/>
        <v>0.18792625783440747</v>
      </c>
      <c r="J55" s="306">
        <f t="shared" si="6"/>
        <v>0.18757372919510995</v>
      </c>
      <c r="K55" s="306">
        <f t="shared" si="6"/>
        <v>0.23061514548598058</v>
      </c>
      <c r="L55" s="306">
        <f t="shared" si="6"/>
        <v>0.23023460363548423</v>
      </c>
      <c r="M55" s="165"/>
    </row>
    <row r="56" spans="1:13">
      <c r="A56" s="258" t="str">
        <f>Model_Mthly!AN2</f>
        <v>NOI Return (Annual)</v>
      </c>
      <c r="B56" s="143"/>
      <c r="C56" s="306">
        <f t="shared" ref="C56:L56" si="7">IF(total_initial_cost&lt;=0,"N/A",C23/total_initial_cost)</f>
        <v>8.2320212560386463E-2</v>
      </c>
      <c r="D56" s="306">
        <f t="shared" si="7"/>
        <v>8.1906798309178755E-2</v>
      </c>
      <c r="E56" s="306">
        <f t="shared" si="7"/>
        <v>9.6413120722342996E-2</v>
      </c>
      <c r="F56" s="306">
        <f t="shared" si="7"/>
        <v>9.6249240763747301E-2</v>
      </c>
      <c r="G56" s="306">
        <f t="shared" si="7"/>
        <v>0.11323608808746118</v>
      </c>
      <c r="H56" s="306">
        <f t="shared" si="7"/>
        <v>0.11305932090203986</v>
      </c>
      <c r="I56" s="306">
        <f t="shared" si="7"/>
        <v>0.13294944682516649</v>
      </c>
      <c r="J56" s="306">
        <f t="shared" si="7"/>
        <v>0.13275870669182677</v>
      </c>
      <c r="K56" s="306">
        <f t="shared" si="7"/>
        <v>0.15604681598930267</v>
      </c>
      <c r="L56" s="306">
        <f t="shared" si="7"/>
        <v>0.15584091894942059</v>
      </c>
      <c r="M56" s="165"/>
    </row>
    <row r="57" spans="1:13">
      <c r="A57" s="259" t="str">
        <f>Model_Mthly!AO2</f>
        <v>Debt Coverage Ratio</v>
      </c>
      <c r="B57" s="135"/>
      <c r="C57" s="307">
        <f>IF(AND(leveraged_property,C28&gt;0),C23/C28,"N/A")</f>
        <v>2.6326007563370286</v>
      </c>
      <c r="D57" s="307">
        <f>IF(AND(leveraged_property,D28&gt;0),D23/D28,"N/A")</f>
        <v>2.6193797667822265</v>
      </c>
      <c r="E57" s="307">
        <f>IF(AND(leveraged_property,E28&gt;0),E23/E28,"N/A")</f>
        <v>3.083292020756923</v>
      </c>
      <c r="F57" s="307">
        <f>IF(AND(leveraged_property,F28&gt;0),F23/F28,"N/A")</f>
        <v>3.0780511389670346</v>
      </c>
      <c r="G57" s="307">
        <f>IF(AND(leveraged_property,G28&gt;0),G23/G28,"N/A")</f>
        <v>3.6212905903883539</v>
      </c>
      <c r="H57" s="307">
        <f>IF(AND(leveraged_property,H28&gt;0),H23/H28,"N/A")</f>
        <v>3.6156375750284342</v>
      </c>
      <c r="I57" s="307">
        <f>IF(AND(leveraged_property,I28&gt;0),I23/I28,"N/A")</f>
        <v>4.2517238887080904</v>
      </c>
      <c r="J57" s="307">
        <f>IF(AND(leveraged_property,J28&gt;0),J23/J28,"N/A")</f>
        <v>4.2456240184128626</v>
      </c>
      <c r="K57" s="307">
        <f>IF(AND(leveraged_property,K28&gt;0),K23/K28,"N/A")</f>
        <v>4.9903778552086715</v>
      </c>
      <c r="L57" s="307">
        <f>IF(AND(leveraged_property,L28&gt;0),L23/L28,"N/A")</f>
        <v>4.983793266976182</v>
      </c>
      <c r="M57" s="165"/>
    </row>
    <row r="58" spans="1:13">
      <c r="A58" s="227"/>
      <c r="B58" s="246"/>
      <c r="C58" s="247"/>
      <c r="D58" s="247"/>
      <c r="E58" s="247"/>
      <c r="F58" s="247"/>
      <c r="G58" s="247"/>
      <c r="H58" s="247"/>
      <c r="I58" s="247"/>
      <c r="J58" s="247"/>
      <c r="K58" s="247"/>
      <c r="L58" s="248"/>
      <c r="M58" s="165"/>
    </row>
    <row r="59" spans="1:13">
      <c r="A59" s="253" t="str">
        <f>Model_Mthly!AQ1</f>
        <v>Before Tax</v>
      </c>
      <c r="B59" s="133"/>
      <c r="C59" s="254"/>
      <c r="D59" s="254"/>
      <c r="E59" s="254"/>
      <c r="F59" s="254"/>
      <c r="G59" s="254"/>
      <c r="H59" s="254"/>
      <c r="I59" s="254"/>
      <c r="J59" s="254"/>
      <c r="K59" s="254"/>
      <c r="L59" s="255"/>
      <c r="M59" s="165"/>
    </row>
    <row r="60" spans="1:13">
      <c r="A60" s="258" t="str">
        <f>Model_Mthly!AQ2</f>
        <v>CFBT</v>
      </c>
      <c r="B60" s="231">
        <f>Model_Mthly!AQ4</f>
        <v>-11200000</v>
      </c>
      <c r="C60" s="231">
        <f>SUM(Model_Mthly!AQ5:AQ16)</f>
        <v>1056748.9384644176</v>
      </c>
      <c r="D60" s="231">
        <f>SUM(Model_Mthly!AQ17:AQ28)</f>
        <v>1048191.2634644175</v>
      </c>
      <c r="E60" s="231">
        <f>SUM(Model_Mthly!AQ29:AQ40)</f>
        <v>1348472.1374169171</v>
      </c>
      <c r="F60" s="231">
        <f>SUM(Model_Mthly!AQ41:AQ52)</f>
        <v>1345079.8222739869</v>
      </c>
      <c r="G60" s="231">
        <f>SUM(Model_Mthly!AQ53:AQ64)</f>
        <v>1696707.5618748637</v>
      </c>
      <c r="H60" s="231">
        <f>SUM(Model_Mthly!AQ65:AQ76)</f>
        <v>1693048.4811366422</v>
      </c>
      <c r="I60" s="231">
        <f>SUM(Model_Mthly!AQ77:AQ88)</f>
        <v>2104774.0877453638</v>
      </c>
      <c r="J60" s="231">
        <f>SUM(Model_Mthly!AQ89:AQ100)</f>
        <v>2100825.7669852315</v>
      </c>
      <c r="K60" s="231">
        <f>SUM(Model_Mthly!AQ101:AQ112)</f>
        <v>2582889.6294429814</v>
      </c>
      <c r="L60" s="231">
        <f>SUM(Model_Mthly!AQ113:AQ124)</f>
        <v>2578627.560717422</v>
      </c>
      <c r="M60" s="165"/>
    </row>
    <row r="61" spans="1:13">
      <c r="A61" s="258" t="str">
        <f>Model_Mthly!AR2</f>
        <v>Terminal CFBT</v>
      </c>
      <c r="B61" s="143"/>
      <c r="C61" s="149">
        <f ca="1">SUM(C60,C36,-C30)</f>
        <v>12030371.137469536</v>
      </c>
      <c r="D61" s="149">
        <f t="shared" ref="D61:L61" ca="1" si="8">SUM(D60,D36,-D30)</f>
        <v>15760376.160169575</v>
      </c>
      <c r="E61" s="149">
        <f t="shared" ca="1" si="8"/>
        <v>16162767.365999084</v>
      </c>
      <c r="F61" s="149">
        <f t="shared" ca="1" si="8"/>
        <v>20529782.103870884</v>
      </c>
      <c r="G61" s="149">
        <f t="shared" ca="1" si="8"/>
        <v>20996885.54197466</v>
      </c>
      <c r="H61" s="149">
        <f t="shared" ca="1" si="8"/>
        <v>26102308.955966797</v>
      </c>
      <c r="I61" s="149">
        <f t="shared" ca="1" si="8"/>
        <v>26644527.614523731</v>
      </c>
      <c r="J61" s="149">
        <f t="shared" ca="1" si="8"/>
        <v>32613251.974096321</v>
      </c>
      <c r="K61" s="149">
        <f t="shared" ca="1" si="8"/>
        <v>33242676.736762661</v>
      </c>
      <c r="L61" s="149">
        <f t="shared" ca="1" si="8"/>
        <v>40220740.475897484</v>
      </c>
      <c r="M61" s="165"/>
    </row>
    <row r="62" spans="1:13">
      <c r="A62" s="258" t="s">
        <v>122</v>
      </c>
      <c r="B62" s="149">
        <f>B60</f>
        <v>-11200000</v>
      </c>
      <c r="C62" s="149">
        <f>C60</f>
        <v>1056748.9384644176</v>
      </c>
      <c r="D62" s="149">
        <f t="shared" ref="D62:K62" si="9">D60</f>
        <v>1048191.2634644175</v>
      </c>
      <c r="E62" s="149">
        <f t="shared" si="9"/>
        <v>1348472.1374169171</v>
      </c>
      <c r="F62" s="149">
        <f t="shared" si="9"/>
        <v>1345079.8222739869</v>
      </c>
      <c r="G62" s="149">
        <f t="shared" si="9"/>
        <v>1696707.5618748637</v>
      </c>
      <c r="H62" s="149">
        <f t="shared" si="9"/>
        <v>1693048.4811366422</v>
      </c>
      <c r="I62" s="149">
        <f t="shared" si="9"/>
        <v>2104774.0877453638</v>
      </c>
      <c r="J62" s="149">
        <f t="shared" si="9"/>
        <v>2100825.7669852315</v>
      </c>
      <c r="K62" s="149">
        <f t="shared" si="9"/>
        <v>2582889.6294429814</v>
      </c>
      <c r="L62" s="149">
        <f ca="1">L61</f>
        <v>40220740.475897484</v>
      </c>
      <c r="M62" s="165"/>
    </row>
    <row r="63" spans="1:13">
      <c r="A63" s="258" t="s">
        <v>73</v>
      </c>
      <c r="B63" s="143"/>
      <c r="C63" s="288">
        <f ca="1">IF(down_payment&lt;=0,"N/A",IRR(($B$60:B60,C61),))</f>
        <v>7.4140280131207881E-2</v>
      </c>
      <c r="D63" s="288">
        <f ca="1">IF(down_payment&lt;=0,"N/A",IRR(($B$60:C60,D61),))</f>
        <v>0.23435868958755987</v>
      </c>
      <c r="E63" s="288">
        <f ca="1">IF(down_payment&lt;=0,"N/A",IRR(($B$60:D60,E61),))</f>
        <v>0.1907445811726394</v>
      </c>
      <c r="F63" s="288">
        <f ca="1">IF(down_payment&lt;=0,"N/A",IRR(($B$60:E60,F61),))</f>
        <v>0.23140915882408167</v>
      </c>
      <c r="G63" s="288">
        <f ca="1">IF(down_payment&lt;=0,"N/A",IRR(($B$60:F60,G61),))</f>
        <v>0.20679798943312752</v>
      </c>
      <c r="H63" s="288">
        <f ca="1">IF(down_payment&lt;=0,"N/A",IRR(($B$60:G60,H61),))</f>
        <v>0.22568609476081303</v>
      </c>
      <c r="I63" s="288">
        <f ca="1">IF(down_payment&lt;=0,"N/A",IRR(($B$60:H60,I61),))</f>
        <v>0.20976655106056638</v>
      </c>
      <c r="J63" s="288">
        <f ca="1">IF(down_payment&lt;=0,"N/A",IRR(($B$60:I60,J61),))</f>
        <v>0.22052378165369871</v>
      </c>
      <c r="K63" s="288">
        <f ca="1">IF(down_payment&lt;=0,"N/A",IRR(($B$60:J60,K61),))</f>
        <v>0.20938787009588924</v>
      </c>
      <c r="L63" s="288">
        <f ca="1">IF(down_payment&lt;=0,"N/A",IRR(($B$60:K60,L61),))</f>
        <v>0.21621121975359542</v>
      </c>
      <c r="M63" s="165"/>
    </row>
    <row r="64" spans="1:13">
      <c r="A64" s="258" t="s">
        <v>123</v>
      </c>
      <c r="B64" s="143"/>
      <c r="C64" s="308"/>
      <c r="D64" s="308"/>
      <c r="E64" s="308"/>
      <c r="F64" s="308"/>
      <c r="G64" s="308"/>
      <c r="H64" s="308"/>
      <c r="I64" s="308"/>
      <c r="J64" s="308"/>
      <c r="K64" s="308"/>
      <c r="L64" s="288">
        <f ca="1">IF(OR(down_payment&lt;=0,purchase_date=""),"N/A",XIRR(B62:L62,B2:L2))</f>
        <v>0.2160772860050201</v>
      </c>
      <c r="M64" s="165"/>
    </row>
    <row r="65" spans="1:13">
      <c r="A65" s="259" t="s">
        <v>116</v>
      </c>
      <c r="B65" s="135"/>
      <c r="C65" s="309">
        <f ca="1">IF(down_payment&lt;=0,"N/A",MIRR(($B$60:B60,C61),finance_rate*12,reinvestment_rate*12))</f>
        <v>7.4140280131208769E-2</v>
      </c>
      <c r="D65" s="309">
        <f ca="1">IF(down_payment&lt;=0,"N/A",MIRR(($B$60:C60,D61),finance_rate*12,reinvestment_rate*12))</f>
        <v>0.23227938867215236</v>
      </c>
      <c r="E65" s="309">
        <f ca="1">IF(down_payment&lt;=0,"N/A",MIRR(($B$60:D60,E61),finance_rate*12,reinvestment_rate*12))</f>
        <v>0.18994261038695015</v>
      </c>
      <c r="F65" s="309">
        <f ca="1">IF(down_payment&lt;=0,"N/A",MIRR(($B$60:E60,F61),finance_rate*12,reinvestment_rate*12))</f>
        <v>0.22616099192238215</v>
      </c>
      <c r="G65" s="309">
        <f ca="1">IF(down_payment&lt;=0,"N/A",MIRR(($B$60:F60,G61),finance_rate*12,reinvestment_rate*12))</f>
        <v>0.2031143171143357</v>
      </c>
      <c r="H65" s="309">
        <f ca="1">IF(down_payment&lt;=0,"N/A",MIRR(($B$60:G60,H61),finance_rate*12,reinvestment_rate*12))</f>
        <v>0.21841402754125072</v>
      </c>
      <c r="I65" s="309">
        <f ca="1">IF(down_payment&lt;=0,"N/A",MIRR(($B$60:H60,I61),finance_rate*12,reinvestment_rate*12))</f>
        <v>0.20401059465230076</v>
      </c>
      <c r="J65" s="309">
        <f ca="1">IF(down_payment&lt;=0,"N/A",MIRR(($B$60:I60,J61),finance_rate*12,reinvestment_rate*12))</f>
        <v>0.21194931328764044</v>
      </c>
      <c r="K65" s="309">
        <f ca="1">IF(down_payment&lt;=0,"N/A",MIRR(($B$60:J60,K61),finance_rate*12,reinvestment_rate*12))</f>
        <v>0.2022049273052815</v>
      </c>
      <c r="L65" s="309">
        <f ca="1">IF(down_payment&lt;=0,"N/A",MIRR(($B$60:K60,L61),finance_rate*12,reinvestment_rate*12))</f>
        <v>0.20678516792401291</v>
      </c>
      <c r="M65" s="165"/>
    </row>
    <row r="66" spans="1:13">
      <c r="A66" s="227"/>
      <c r="B66" s="246"/>
      <c r="C66" s="260"/>
      <c r="D66" s="260"/>
      <c r="E66" s="260"/>
      <c r="F66" s="260"/>
      <c r="G66" s="260"/>
      <c r="H66" s="260"/>
      <c r="I66" s="260"/>
      <c r="J66" s="260"/>
      <c r="K66" s="260"/>
      <c r="L66" s="261"/>
      <c r="M66" s="165"/>
    </row>
    <row r="67" spans="1:13">
      <c r="A67" s="253" t="str">
        <f>Model_Mthly!AX1</f>
        <v>After Tax</v>
      </c>
      <c r="B67" s="133"/>
      <c r="C67" s="254"/>
      <c r="D67" s="254"/>
      <c r="E67" s="254"/>
      <c r="F67" s="254"/>
      <c r="G67" s="254"/>
      <c r="H67" s="254"/>
      <c r="I67" s="254"/>
      <c r="J67" s="254"/>
      <c r="K67" s="254"/>
      <c r="L67" s="255"/>
      <c r="M67" s="165"/>
    </row>
    <row r="68" spans="1:13">
      <c r="A68" s="258" t="str">
        <f>Model_Mthly!AX2</f>
        <v>CFAT</v>
      </c>
      <c r="B68" s="231">
        <f>B60</f>
        <v>-11200000</v>
      </c>
      <c r="C68" s="231">
        <f>C60-C41</f>
        <v>796870.6687620189</v>
      </c>
      <c r="D68" s="231">
        <f t="shared" ref="D68:L68" si="10">D60-D41</f>
        <v>788714.68288254004</v>
      </c>
      <c r="E68" s="231">
        <f t="shared" si="10"/>
        <v>996623.52365265228</v>
      </c>
      <c r="F68" s="231">
        <f t="shared" si="10"/>
        <v>991832.08378899144</v>
      </c>
      <c r="G68" s="231">
        <f t="shared" si="10"/>
        <v>1235418.3546423966</v>
      </c>
      <c r="H68" s="231">
        <f t="shared" si="10"/>
        <v>1230159.8337064036</v>
      </c>
      <c r="I68" s="231">
        <f t="shared" si="10"/>
        <v>1515518.4526392738</v>
      </c>
      <c r="J68" s="231">
        <f t="shared" si="10"/>
        <v>1509744.5991762062</v>
      </c>
      <c r="K68" s="231">
        <f t="shared" si="10"/>
        <v>1844009.4846739618</v>
      </c>
      <c r="L68" s="231">
        <f t="shared" si="10"/>
        <v>1837666.8516010446</v>
      </c>
      <c r="M68" s="165"/>
    </row>
    <row r="69" spans="1:13">
      <c r="A69" s="258" t="s">
        <v>118</v>
      </c>
      <c r="B69" s="143"/>
      <c r="C69" s="149">
        <f ca="1">SUM(C68,C47,-C30)</f>
        <v>11777670.820074828</v>
      </c>
      <c r="D69" s="149">
        <f t="shared" ref="D69:L69" ca="1" si="11">SUM(D68,D47,-D30)</f>
        <v>14723711.126717083</v>
      </c>
      <c r="E69" s="149">
        <f t="shared" ca="1" si="11"/>
        <v>14978179.548014931</v>
      </c>
      <c r="F69" s="149">
        <f t="shared" ca="1" si="11"/>
        <v>18436196.278431579</v>
      </c>
      <c r="G69" s="149">
        <f t="shared" ca="1" si="11"/>
        <v>18740347.733867314</v>
      </c>
      <c r="H69" s="149">
        <f t="shared" ca="1" si="11"/>
        <v>22792337.944108445</v>
      </c>
      <c r="I69" s="149">
        <f t="shared" ca="1" si="11"/>
        <v>23153973.277121536</v>
      </c>
      <c r="J69" s="149">
        <f t="shared" ca="1" si="11"/>
        <v>27900226.526400283</v>
      </c>
      <c r="K69" s="149">
        <f t="shared" ca="1" si="11"/>
        <v>28328388.969355661</v>
      </c>
      <c r="L69" s="149">
        <f t="shared" ca="1" si="11"/>
        <v>33886155.27650515</v>
      </c>
      <c r="M69" s="165"/>
    </row>
    <row r="70" spans="1:13">
      <c r="A70" s="258" t="s">
        <v>124</v>
      </c>
      <c r="B70" s="149">
        <f>B68</f>
        <v>-11200000</v>
      </c>
      <c r="C70" s="149">
        <f>C68</f>
        <v>796870.6687620189</v>
      </c>
      <c r="D70" s="149">
        <f t="shared" ref="D70:K70" si="12">D68</f>
        <v>788714.68288254004</v>
      </c>
      <c r="E70" s="149">
        <f t="shared" si="12"/>
        <v>996623.52365265228</v>
      </c>
      <c r="F70" s="149">
        <f t="shared" si="12"/>
        <v>991832.08378899144</v>
      </c>
      <c r="G70" s="149">
        <f t="shared" si="12"/>
        <v>1235418.3546423966</v>
      </c>
      <c r="H70" s="149">
        <f t="shared" si="12"/>
        <v>1230159.8337064036</v>
      </c>
      <c r="I70" s="149">
        <f t="shared" si="12"/>
        <v>1515518.4526392738</v>
      </c>
      <c r="J70" s="149">
        <f t="shared" si="12"/>
        <v>1509744.5991762062</v>
      </c>
      <c r="K70" s="149">
        <f t="shared" si="12"/>
        <v>1844009.4846739618</v>
      </c>
      <c r="L70" s="149">
        <f ca="1">L69</f>
        <v>33886155.27650515</v>
      </c>
      <c r="M70" s="165"/>
    </row>
    <row r="71" spans="1:13">
      <c r="A71" s="258" t="s">
        <v>73</v>
      </c>
      <c r="B71" s="143"/>
      <c r="C71" s="288">
        <f ca="1">IF(down_payment&lt;=0,"N/A",IRR(($B$68:B68,C69),))</f>
        <v>5.1577751792395383E-2</v>
      </c>
      <c r="D71" s="288">
        <f ca="1">IF(down_payment&lt;=0,"N/A",IRR(($B$68:C68,D69),))</f>
        <v>0.18269385179937153</v>
      </c>
      <c r="E71" s="288">
        <f ca="1">IF(down_payment&lt;=0,"N/A",IRR(($B$68:D68,E69),))</f>
        <v>0.14772968536778205</v>
      </c>
      <c r="F71" s="288">
        <f ca="1">IF(down_payment&lt;=0,"N/A",IRR(($B$68:E68,F69),))</f>
        <v>0.1845024888805965</v>
      </c>
      <c r="G71" s="288">
        <f ca="1">IF(down_payment&lt;=0,"N/A",IRR(($B$68:F68,G69),))</f>
        <v>0.16421552572653855</v>
      </c>
      <c r="H71" s="288">
        <f ca="1">IF(down_payment&lt;=0,"N/A",IRR(($B$68:G68,H69),))</f>
        <v>0.18288013437018577</v>
      </c>
      <c r="I71" s="288">
        <f ca="1">IF(down_payment&lt;=0,"N/A",IRR(($B$68:H68,I69),))</f>
        <v>0.16940565328256185</v>
      </c>
      <c r="J71" s="288">
        <f ca="1">IF(down_payment&lt;=0,"N/A",IRR(($B$68:I68,J69),))</f>
        <v>0.1808641682086925</v>
      </c>
      <c r="K71" s="288">
        <f ca="1">IF(down_payment&lt;=0,"N/A",IRR(($B$68:J68,K69),))</f>
        <v>0.17119685131906887</v>
      </c>
      <c r="L71" s="288">
        <f ca="1">IF(down_payment&lt;=0,"N/A",IRR(($B$68:K68,L69),))</f>
        <v>0.17895264015529022</v>
      </c>
      <c r="M71" s="165"/>
    </row>
    <row r="72" spans="1:13">
      <c r="A72" s="258" t="s">
        <v>123</v>
      </c>
      <c r="B72" s="143"/>
      <c r="C72" s="308"/>
      <c r="D72" s="308"/>
      <c r="E72" s="308"/>
      <c r="F72" s="308"/>
      <c r="G72" s="308"/>
      <c r="H72" s="308"/>
      <c r="I72" s="308"/>
      <c r="J72" s="308"/>
      <c r="K72" s="308"/>
      <c r="L72" s="288">
        <f ca="1">IF(OR(down_payment&lt;=0,purchase_date=""),"N/A",XIRR(B70:L70,B2:L2))</f>
        <v>0.17884375452995305</v>
      </c>
      <c r="M72" s="165"/>
    </row>
    <row r="73" spans="1:13">
      <c r="A73" s="259" t="s">
        <v>116</v>
      </c>
      <c r="B73" s="135"/>
      <c r="C73" s="309">
        <f ca="1">IF(down_payment&lt;=0,"N/A",MIRR(($B$68:B68,C69),finance_rate*12*(1-income_tax),reinvestment_rate*12*(1-income_tax)))</f>
        <v>5.1577751792395432E-2</v>
      </c>
      <c r="D73" s="309">
        <f ca="1">IF(down_payment&lt;=0,"N/A",MIRR(($B$68:C68,D69),finance_rate*12*(1-income_tax),reinvestment_rate*12*(1-income_tax)))</f>
        <v>0.18098731016161995</v>
      </c>
      <c r="E73" s="309">
        <f ca="1">IF(down_payment&lt;=0,"N/A",MIRR(($B$68:D68,E69),finance_rate*12*(1-income_tax),reinvestment_rate*12*(1-income_tax)))</f>
        <v>0.14645151300292114</v>
      </c>
      <c r="F73" s="309">
        <f ca="1">IF(down_payment&lt;=0,"N/A",MIRR(($B$68:E68,F69),finance_rate*12*(1-income_tax),reinvestment_rate*12*(1-income_tax)))</f>
        <v>0.17975145676278625</v>
      </c>
      <c r="G73" s="309">
        <f ca="1">IF(down_payment&lt;=0,"N/A",MIRR(($B$68:F68,G69),finance_rate*12*(1-income_tax),reinvestment_rate*12*(1-income_tax)))</f>
        <v>0.16003834042153464</v>
      </c>
      <c r="H73" s="309">
        <f ca="1">IF(down_payment&lt;=0,"N/A",MIRR(($B$68:G68,H69),finance_rate*12*(1-income_tax),reinvestment_rate*12*(1-income_tax)))</f>
        <v>0.17566067770862492</v>
      </c>
      <c r="I73" s="309">
        <f ca="1">IF(down_payment&lt;=0,"N/A",MIRR(($B$68:H68,I69),finance_rate*12*(1-income_tax),reinvestment_rate*12*(1-income_tax)))</f>
        <v>0.16271169391412954</v>
      </c>
      <c r="J73" s="309">
        <f ca="1">IF(down_payment&lt;=0,"N/A",MIRR(($B$68:I68,J69),finance_rate*12*(1-income_tax),reinvestment_rate*12*(1-income_tax)))</f>
        <v>0.1716150619614023</v>
      </c>
      <c r="K73" s="309">
        <f ca="1">IF(down_payment&lt;=0,"N/A",MIRR(($B$68:J68,K69),finance_rate*12*(1-income_tax),reinvestment_rate*12*(1-income_tax)))</f>
        <v>0.16238473153487587</v>
      </c>
      <c r="L73" s="309">
        <f ca="1">IF(down_payment&lt;=0,"N/A",MIRR(($B$68:K68,L69),finance_rate*12*(1-income_tax),reinvestment_rate*12*(1-income_tax)))</f>
        <v>0.16799139954753128</v>
      </c>
      <c r="M73" s="165"/>
    </row>
    <row r="74" spans="1:13">
      <c r="A74" s="227"/>
      <c r="B74" s="225"/>
      <c r="C74" s="262"/>
      <c r="D74" s="262"/>
      <c r="E74" s="262"/>
      <c r="F74" s="262"/>
      <c r="G74" s="262"/>
      <c r="H74" s="262"/>
      <c r="I74" s="262"/>
      <c r="J74" s="262"/>
      <c r="K74" s="262"/>
      <c r="L74" s="263"/>
      <c r="M74" s="165"/>
    </row>
    <row r="75" spans="1:13">
      <c r="C75" s="165"/>
      <c r="D75" s="165"/>
      <c r="E75" s="165"/>
      <c r="F75" s="165"/>
      <c r="G75" s="165"/>
      <c r="H75" s="165"/>
      <c r="I75" s="165"/>
      <c r="J75" s="165"/>
      <c r="K75" s="165"/>
      <c r="L75" s="165"/>
      <c r="M75" s="165"/>
    </row>
    <row r="76" spans="1:13">
      <c r="C76" s="165"/>
      <c r="D76" s="165"/>
      <c r="E76" s="165"/>
      <c r="F76" s="165"/>
      <c r="G76" s="165"/>
      <c r="H76" s="165"/>
      <c r="I76" s="165"/>
      <c r="J76" s="165"/>
      <c r="K76" s="165"/>
      <c r="L76" s="165"/>
      <c r="M76" s="165"/>
    </row>
    <row r="77" spans="1:13">
      <c r="C77" s="165"/>
      <c r="D77" s="165"/>
      <c r="E77" s="165"/>
      <c r="F77" s="165"/>
      <c r="G77" s="165"/>
      <c r="H77" s="165"/>
      <c r="I77" s="165"/>
      <c r="J77" s="165"/>
      <c r="K77" s="165"/>
      <c r="L77" s="165"/>
      <c r="M77" s="165"/>
    </row>
    <row r="78" spans="1:13">
      <c r="C78" s="165"/>
      <c r="D78" s="165"/>
      <c r="E78" s="165"/>
      <c r="F78" s="165"/>
      <c r="G78" s="165"/>
      <c r="H78" s="165"/>
      <c r="I78" s="165"/>
      <c r="J78" s="165"/>
      <c r="K78" s="165"/>
      <c r="L78" s="165"/>
      <c r="M78" s="165"/>
    </row>
    <row r="79" spans="1:13">
      <c r="C79" s="165"/>
      <c r="D79" s="165"/>
      <c r="E79" s="165"/>
      <c r="F79" s="165"/>
      <c r="G79" s="165"/>
      <c r="H79" s="165"/>
      <c r="I79" s="165"/>
      <c r="J79" s="165"/>
      <c r="K79" s="165"/>
      <c r="L79" s="165"/>
      <c r="M79" s="165"/>
    </row>
    <row r="80" spans="1:13">
      <c r="C80" s="165"/>
      <c r="D80" s="165"/>
      <c r="E80" s="165"/>
      <c r="F80" s="165"/>
      <c r="G80" s="165"/>
      <c r="H80" s="165"/>
      <c r="I80" s="165"/>
      <c r="J80" s="165"/>
      <c r="K80" s="165"/>
      <c r="L80" s="165"/>
      <c r="M80" s="165"/>
    </row>
    <row r="81" spans="3:13">
      <c r="C81" s="165"/>
      <c r="D81" s="165"/>
      <c r="E81" s="165"/>
      <c r="F81" s="165"/>
      <c r="G81" s="165"/>
      <c r="H81" s="165"/>
      <c r="I81" s="165"/>
      <c r="J81" s="165"/>
      <c r="K81" s="165"/>
      <c r="L81" s="165"/>
      <c r="M81" s="165"/>
    </row>
    <row r="82" spans="3:13">
      <c r="C82" s="165"/>
      <c r="D82" s="165"/>
      <c r="E82" s="165"/>
      <c r="F82" s="165"/>
      <c r="G82" s="165"/>
      <c r="H82" s="165"/>
      <c r="I82" s="165"/>
      <c r="J82" s="165"/>
      <c r="K82" s="165"/>
      <c r="L82" s="165"/>
      <c r="M82" s="165"/>
    </row>
    <row r="83" spans="3:13">
      <c r="C83" s="165"/>
      <c r="D83" s="165"/>
      <c r="E83" s="165"/>
      <c r="F83" s="165"/>
      <c r="G83" s="165"/>
      <c r="H83" s="165"/>
      <c r="I83" s="165"/>
      <c r="J83" s="165"/>
      <c r="K83" s="165"/>
      <c r="L83" s="165"/>
      <c r="M83" s="165"/>
    </row>
    <row r="84" spans="3:13">
      <c r="C84" s="165"/>
      <c r="D84" s="165"/>
      <c r="E84" s="165"/>
      <c r="F84" s="165"/>
      <c r="G84" s="165"/>
      <c r="H84" s="165"/>
      <c r="I84" s="165"/>
      <c r="J84" s="165"/>
      <c r="K84" s="165"/>
      <c r="L84" s="165"/>
      <c r="M84" s="165"/>
    </row>
    <row r="85" spans="3:13">
      <c r="C85" s="165"/>
      <c r="D85" s="165"/>
      <c r="E85" s="165"/>
      <c r="F85" s="165"/>
      <c r="G85" s="165"/>
      <c r="H85" s="165"/>
      <c r="I85" s="165"/>
      <c r="J85" s="165"/>
      <c r="K85" s="165"/>
      <c r="L85" s="165"/>
      <c r="M85" s="165"/>
    </row>
    <row r="86" spans="3:13">
      <c r="C86" s="165"/>
      <c r="D86" s="165"/>
      <c r="E86" s="165"/>
      <c r="F86" s="165"/>
      <c r="G86" s="165"/>
      <c r="H86" s="165"/>
      <c r="I86" s="165"/>
      <c r="J86" s="165"/>
      <c r="K86" s="165"/>
      <c r="L86" s="165"/>
      <c r="M86" s="165"/>
    </row>
    <row r="87" spans="3:13">
      <c r="C87" s="165"/>
      <c r="D87" s="165"/>
      <c r="E87" s="165"/>
      <c r="F87" s="165"/>
      <c r="G87" s="165"/>
      <c r="H87" s="165"/>
      <c r="I87" s="165"/>
      <c r="J87" s="165"/>
      <c r="K87" s="165"/>
      <c r="L87" s="165"/>
      <c r="M87" s="165"/>
    </row>
    <row r="88" spans="3:13">
      <c r="C88" s="165"/>
      <c r="D88" s="165"/>
      <c r="E88" s="165"/>
      <c r="F88" s="165"/>
      <c r="G88" s="165"/>
      <c r="H88" s="165"/>
      <c r="I88" s="165"/>
      <c r="J88" s="165"/>
      <c r="K88" s="165"/>
      <c r="L88" s="165"/>
      <c r="M88" s="165"/>
    </row>
    <row r="89" spans="3:13">
      <c r="C89" s="165"/>
      <c r="D89" s="165"/>
      <c r="E89" s="165"/>
      <c r="F89" s="165"/>
      <c r="G89" s="165"/>
      <c r="H89" s="165"/>
      <c r="I89" s="165"/>
      <c r="J89" s="165"/>
      <c r="K89" s="165"/>
      <c r="L89" s="165"/>
      <c r="M89" s="165"/>
    </row>
    <row r="90" spans="3:13">
      <c r="C90" s="165"/>
      <c r="D90" s="165"/>
      <c r="E90" s="165"/>
      <c r="F90" s="165"/>
      <c r="G90" s="165"/>
      <c r="H90" s="165"/>
      <c r="I90" s="165"/>
      <c r="J90" s="165"/>
      <c r="K90" s="165"/>
      <c r="L90" s="165"/>
      <c r="M90" s="165"/>
    </row>
    <row r="91" spans="3:13">
      <c r="C91" s="165"/>
      <c r="D91" s="165"/>
      <c r="E91" s="165"/>
      <c r="F91" s="165"/>
      <c r="G91" s="165"/>
      <c r="H91" s="165"/>
      <c r="I91" s="165"/>
      <c r="J91" s="165"/>
      <c r="K91" s="165"/>
      <c r="L91" s="165"/>
      <c r="M91" s="165"/>
    </row>
    <row r="92" spans="3:13">
      <c r="C92" s="165"/>
      <c r="D92" s="165"/>
      <c r="E92" s="165"/>
      <c r="F92" s="165"/>
      <c r="G92" s="165"/>
      <c r="H92" s="165"/>
      <c r="I92" s="165"/>
      <c r="J92" s="165"/>
      <c r="K92" s="165"/>
      <c r="L92" s="165"/>
      <c r="M92" s="165"/>
    </row>
    <row r="93" spans="3:13">
      <c r="C93" s="165"/>
      <c r="D93" s="165"/>
      <c r="E93" s="165"/>
      <c r="F93" s="165"/>
      <c r="G93" s="165"/>
      <c r="H93" s="165"/>
      <c r="I93" s="165"/>
      <c r="J93" s="165"/>
      <c r="K93" s="165"/>
      <c r="L93" s="165"/>
      <c r="M93" s="165"/>
    </row>
    <row r="94" spans="3:13">
      <c r="C94" s="165"/>
      <c r="D94" s="165"/>
      <c r="E94" s="165"/>
      <c r="F94" s="165"/>
      <c r="G94" s="165"/>
      <c r="H94" s="165"/>
      <c r="I94" s="165"/>
      <c r="J94" s="165"/>
      <c r="K94" s="165"/>
      <c r="L94" s="165"/>
      <c r="M94" s="165"/>
    </row>
    <row r="95" spans="3:13">
      <c r="C95" s="165"/>
      <c r="D95" s="165"/>
      <c r="E95" s="165"/>
      <c r="F95" s="165"/>
      <c r="G95" s="165"/>
      <c r="H95" s="165"/>
      <c r="I95" s="165"/>
      <c r="J95" s="165"/>
      <c r="K95" s="165"/>
      <c r="L95" s="165"/>
      <c r="M95" s="165"/>
    </row>
    <row r="96" spans="3:13">
      <c r="C96" s="165"/>
      <c r="D96" s="165"/>
      <c r="E96" s="165"/>
      <c r="F96" s="165"/>
      <c r="G96" s="165"/>
      <c r="H96" s="165"/>
      <c r="I96" s="165"/>
      <c r="J96" s="165"/>
      <c r="K96" s="165"/>
      <c r="L96" s="165"/>
      <c r="M96" s="165"/>
    </row>
    <row r="97" spans="3:13">
      <c r="C97" s="165"/>
      <c r="D97" s="165"/>
      <c r="E97" s="165"/>
      <c r="F97" s="165"/>
      <c r="G97" s="165"/>
      <c r="H97" s="165"/>
      <c r="I97" s="165"/>
      <c r="J97" s="165"/>
      <c r="K97" s="165"/>
      <c r="L97" s="165"/>
      <c r="M97" s="165"/>
    </row>
    <row r="98" spans="3:13">
      <c r="C98" s="165"/>
      <c r="D98" s="165"/>
      <c r="E98" s="165"/>
      <c r="F98" s="165"/>
      <c r="G98" s="165"/>
      <c r="H98" s="165"/>
      <c r="I98" s="165"/>
      <c r="J98" s="165"/>
      <c r="K98" s="165"/>
      <c r="L98" s="165"/>
      <c r="M98" s="165"/>
    </row>
    <row r="99" spans="3:13">
      <c r="C99" s="165"/>
      <c r="D99" s="165"/>
      <c r="E99" s="165"/>
      <c r="F99" s="165"/>
      <c r="G99" s="165"/>
      <c r="H99" s="165"/>
      <c r="I99" s="165"/>
      <c r="J99" s="165"/>
      <c r="K99" s="165"/>
      <c r="L99" s="165"/>
      <c r="M99" s="165"/>
    </row>
    <row r="100" spans="3:13">
      <c r="C100" s="165"/>
      <c r="D100" s="165"/>
      <c r="E100" s="165"/>
      <c r="F100" s="165"/>
      <c r="G100" s="165"/>
      <c r="H100" s="165"/>
      <c r="I100" s="165"/>
      <c r="J100" s="165"/>
      <c r="K100" s="165"/>
      <c r="L100" s="165"/>
      <c r="M100" s="165"/>
    </row>
    <row r="101" spans="3:13">
      <c r="C101" s="165"/>
      <c r="D101" s="165"/>
      <c r="E101" s="165"/>
      <c r="F101" s="165"/>
      <c r="G101" s="165"/>
      <c r="H101" s="165"/>
      <c r="I101" s="165"/>
      <c r="J101" s="165"/>
      <c r="K101" s="165"/>
      <c r="L101" s="165"/>
      <c r="M101" s="165"/>
    </row>
    <row r="102" spans="3:13">
      <c r="C102" s="165"/>
      <c r="D102" s="165"/>
      <c r="E102" s="165"/>
      <c r="F102" s="165"/>
      <c r="G102" s="165"/>
      <c r="H102" s="165"/>
      <c r="I102" s="165"/>
      <c r="J102" s="165"/>
      <c r="K102" s="165"/>
      <c r="L102" s="165"/>
      <c r="M102" s="165"/>
    </row>
    <row r="103" spans="3:13">
      <c r="C103" s="165"/>
      <c r="D103" s="165"/>
      <c r="E103" s="165"/>
      <c r="F103" s="165"/>
      <c r="G103" s="165"/>
      <c r="H103" s="165"/>
      <c r="I103" s="165"/>
      <c r="J103" s="165"/>
      <c r="K103" s="165"/>
      <c r="L103" s="165"/>
      <c r="M103" s="165"/>
    </row>
    <row r="104" spans="3:13">
      <c r="C104" s="165"/>
      <c r="D104" s="165"/>
      <c r="E104" s="165"/>
      <c r="F104" s="165"/>
      <c r="G104" s="165"/>
      <c r="H104" s="165"/>
      <c r="I104" s="165"/>
      <c r="J104" s="165"/>
      <c r="K104" s="165"/>
      <c r="L104" s="165"/>
      <c r="M104" s="165"/>
    </row>
    <row r="105" spans="3:13">
      <c r="C105" s="165"/>
      <c r="D105" s="165"/>
      <c r="E105" s="165"/>
      <c r="F105" s="165"/>
      <c r="G105" s="165"/>
      <c r="H105" s="165"/>
      <c r="I105" s="165"/>
      <c r="J105" s="165"/>
      <c r="K105" s="165"/>
      <c r="L105" s="165"/>
      <c r="M105" s="165"/>
    </row>
    <row r="106" spans="3:13">
      <c r="C106" s="165"/>
      <c r="D106" s="165"/>
      <c r="E106" s="165"/>
      <c r="F106" s="165"/>
      <c r="G106" s="165"/>
      <c r="H106" s="165"/>
      <c r="I106" s="165"/>
      <c r="J106" s="165"/>
      <c r="K106" s="165"/>
      <c r="L106" s="165"/>
      <c r="M106" s="165"/>
    </row>
    <row r="107" spans="3:13">
      <c r="C107" s="165"/>
      <c r="D107" s="165"/>
      <c r="E107" s="165"/>
      <c r="F107" s="165"/>
      <c r="G107" s="165"/>
      <c r="H107" s="165"/>
      <c r="I107" s="165"/>
      <c r="J107" s="165"/>
      <c r="K107" s="165"/>
      <c r="L107" s="165"/>
      <c r="M107" s="165"/>
    </row>
    <row r="108" spans="3:13">
      <c r="C108" s="165"/>
      <c r="D108" s="165"/>
      <c r="E108" s="165"/>
      <c r="F108" s="165"/>
      <c r="G108" s="165"/>
      <c r="H108" s="165"/>
      <c r="I108" s="165"/>
      <c r="J108" s="165"/>
      <c r="K108" s="165"/>
      <c r="L108" s="165"/>
      <c r="M108" s="165"/>
    </row>
    <row r="109" spans="3:13">
      <c r="C109" s="165"/>
      <c r="D109" s="165"/>
      <c r="E109" s="165"/>
      <c r="F109" s="165"/>
      <c r="G109" s="165"/>
      <c r="H109" s="165"/>
      <c r="I109" s="165"/>
      <c r="J109" s="165"/>
      <c r="K109" s="165"/>
      <c r="L109" s="165"/>
      <c r="M109" s="165"/>
    </row>
    <row r="110" spans="3:13">
      <c r="C110" s="165"/>
      <c r="D110" s="165"/>
      <c r="E110" s="165"/>
      <c r="F110" s="165"/>
      <c r="G110" s="165"/>
      <c r="H110" s="165"/>
      <c r="I110" s="165"/>
      <c r="J110" s="165"/>
      <c r="K110" s="165"/>
      <c r="L110" s="165"/>
      <c r="M110" s="165"/>
    </row>
    <row r="111" spans="3:13">
      <c r="C111" s="165"/>
      <c r="D111" s="165"/>
      <c r="E111" s="165"/>
      <c r="F111" s="165"/>
      <c r="G111" s="165"/>
      <c r="H111" s="165"/>
      <c r="I111" s="165"/>
      <c r="J111" s="165"/>
      <c r="K111" s="165"/>
      <c r="L111" s="165"/>
      <c r="M111" s="165"/>
    </row>
    <row r="112" spans="3:13">
      <c r="C112" s="165"/>
      <c r="D112" s="165"/>
      <c r="E112" s="165"/>
      <c r="F112" s="165"/>
      <c r="G112" s="165"/>
      <c r="H112" s="165"/>
      <c r="I112" s="165"/>
      <c r="J112" s="165"/>
      <c r="K112" s="165"/>
      <c r="L112" s="165"/>
      <c r="M112" s="165"/>
    </row>
    <row r="113" spans="3:13">
      <c r="C113" s="165"/>
      <c r="D113" s="165"/>
      <c r="E113" s="165"/>
      <c r="F113" s="165"/>
      <c r="G113" s="165"/>
      <c r="H113" s="165"/>
      <c r="I113" s="165"/>
      <c r="J113" s="165"/>
      <c r="K113" s="165"/>
      <c r="L113" s="165"/>
      <c r="M113" s="165"/>
    </row>
    <row r="114" spans="3:13">
      <c r="C114" s="165"/>
      <c r="D114" s="165"/>
      <c r="E114" s="165"/>
      <c r="F114" s="165"/>
      <c r="G114" s="165"/>
      <c r="H114" s="165"/>
      <c r="I114" s="165"/>
      <c r="J114" s="165"/>
      <c r="K114" s="165"/>
      <c r="L114" s="165"/>
      <c r="M114" s="165"/>
    </row>
    <row r="115" spans="3:13">
      <c r="C115" s="165"/>
      <c r="D115" s="165"/>
      <c r="E115" s="165"/>
      <c r="F115" s="165"/>
      <c r="G115" s="165"/>
      <c r="H115" s="165"/>
      <c r="I115" s="165"/>
      <c r="J115" s="165"/>
      <c r="K115" s="165"/>
      <c r="L115" s="165"/>
      <c r="M115" s="165"/>
    </row>
    <row r="116" spans="3:13">
      <c r="C116" s="165"/>
      <c r="D116" s="165"/>
      <c r="E116" s="165"/>
      <c r="F116" s="165"/>
      <c r="G116" s="165"/>
      <c r="H116" s="165"/>
      <c r="I116" s="165"/>
      <c r="J116" s="165"/>
      <c r="K116" s="165"/>
      <c r="L116" s="165"/>
      <c r="M116" s="165"/>
    </row>
    <row r="117" spans="3:13">
      <c r="C117" s="165"/>
      <c r="D117" s="165"/>
      <c r="E117" s="165"/>
      <c r="F117" s="165"/>
      <c r="G117" s="165"/>
      <c r="H117" s="165"/>
      <c r="I117" s="165"/>
      <c r="J117" s="165"/>
      <c r="K117" s="165"/>
      <c r="L117" s="165"/>
      <c r="M117" s="165"/>
    </row>
    <row r="118" spans="3:13">
      <c r="C118" s="165"/>
      <c r="D118" s="165"/>
      <c r="E118" s="165"/>
      <c r="F118" s="165"/>
      <c r="G118" s="165"/>
      <c r="H118" s="165"/>
      <c r="I118" s="165"/>
      <c r="J118" s="165"/>
      <c r="K118" s="165"/>
      <c r="L118" s="165"/>
      <c r="M118" s="165"/>
    </row>
    <row r="119" spans="3:13">
      <c r="C119" s="165"/>
      <c r="D119" s="165"/>
      <c r="E119" s="165"/>
      <c r="F119" s="165"/>
      <c r="G119" s="165"/>
      <c r="H119" s="165"/>
      <c r="I119" s="165"/>
      <c r="J119" s="165"/>
      <c r="K119" s="165"/>
      <c r="L119" s="165"/>
      <c r="M119" s="165"/>
    </row>
    <row r="120" spans="3:13">
      <c r="C120" s="165"/>
      <c r="D120" s="165"/>
      <c r="E120" s="165"/>
      <c r="F120" s="165"/>
      <c r="G120" s="165"/>
      <c r="H120" s="165"/>
      <c r="I120" s="165"/>
      <c r="J120" s="165"/>
      <c r="K120" s="165"/>
      <c r="L120" s="165"/>
      <c r="M120" s="165"/>
    </row>
    <row r="121" spans="3:13">
      <c r="C121" s="165"/>
      <c r="D121" s="165"/>
      <c r="E121" s="165"/>
      <c r="F121" s="165"/>
      <c r="G121" s="165"/>
      <c r="H121" s="165"/>
      <c r="I121" s="165"/>
      <c r="J121" s="165"/>
      <c r="K121" s="165"/>
      <c r="L121" s="165"/>
      <c r="M121" s="165"/>
    </row>
    <row r="122" spans="3:13">
      <c r="C122" s="165"/>
      <c r="D122" s="165"/>
      <c r="E122" s="165"/>
      <c r="F122" s="165"/>
      <c r="G122" s="165"/>
      <c r="H122" s="165"/>
      <c r="I122" s="165"/>
      <c r="J122" s="165"/>
      <c r="K122" s="165"/>
      <c r="L122" s="165"/>
      <c r="M122" s="165"/>
    </row>
    <row r="123" spans="3:13">
      <c r="C123" s="165"/>
      <c r="D123" s="165"/>
      <c r="E123" s="165"/>
      <c r="F123" s="165"/>
      <c r="G123" s="165"/>
      <c r="H123" s="165"/>
      <c r="I123" s="165"/>
      <c r="J123" s="165"/>
      <c r="K123" s="165"/>
      <c r="L123" s="165"/>
      <c r="M123" s="165"/>
    </row>
    <row r="124" spans="3:13">
      <c r="C124" s="165"/>
      <c r="D124" s="165"/>
      <c r="E124" s="165"/>
      <c r="F124" s="165"/>
      <c r="G124" s="165"/>
      <c r="H124" s="165"/>
      <c r="I124" s="165"/>
      <c r="J124" s="165"/>
      <c r="K124" s="165"/>
      <c r="L124" s="165"/>
      <c r="M124" s="165"/>
    </row>
    <row r="125" spans="3:13">
      <c r="C125" s="165"/>
      <c r="D125" s="165"/>
      <c r="E125" s="165"/>
      <c r="F125" s="165"/>
      <c r="G125" s="165"/>
      <c r="H125" s="165"/>
      <c r="I125" s="165"/>
      <c r="J125" s="165"/>
      <c r="K125" s="165"/>
      <c r="L125" s="165"/>
      <c r="M125" s="165"/>
    </row>
    <row r="126" spans="3:13">
      <c r="C126" s="165"/>
      <c r="D126" s="165"/>
      <c r="E126" s="165"/>
      <c r="F126" s="165"/>
      <c r="G126" s="165"/>
      <c r="H126" s="165"/>
      <c r="I126" s="165"/>
      <c r="J126" s="165"/>
      <c r="K126" s="165"/>
      <c r="L126" s="165"/>
      <c r="M126" s="165"/>
    </row>
    <row r="127" spans="3:13">
      <c r="C127" s="165"/>
      <c r="D127" s="165"/>
      <c r="E127" s="165"/>
      <c r="F127" s="165"/>
      <c r="G127" s="165"/>
      <c r="H127" s="165"/>
      <c r="I127" s="165"/>
      <c r="J127" s="165"/>
      <c r="K127" s="165"/>
      <c r="L127" s="165"/>
      <c r="M127" s="165"/>
    </row>
    <row r="128" spans="3:13">
      <c r="C128" s="165"/>
      <c r="D128" s="165"/>
      <c r="E128" s="165"/>
      <c r="F128" s="165"/>
      <c r="G128" s="165"/>
      <c r="H128" s="165"/>
      <c r="I128" s="165"/>
      <c r="J128" s="165"/>
      <c r="K128" s="165"/>
      <c r="L128" s="165"/>
      <c r="M128" s="165"/>
    </row>
    <row r="129" spans="3:13">
      <c r="C129" s="165"/>
      <c r="D129" s="165"/>
      <c r="E129" s="165"/>
      <c r="F129" s="165"/>
      <c r="G129" s="165"/>
      <c r="H129" s="165"/>
      <c r="I129" s="165"/>
      <c r="J129" s="165"/>
      <c r="K129" s="165"/>
      <c r="L129" s="165"/>
      <c r="M129" s="165"/>
    </row>
    <row r="130" spans="3:13">
      <c r="C130" s="165"/>
      <c r="D130" s="165"/>
      <c r="E130" s="165"/>
      <c r="F130" s="165"/>
      <c r="G130" s="165"/>
      <c r="H130" s="165"/>
      <c r="I130" s="165"/>
      <c r="J130" s="165"/>
      <c r="K130" s="165"/>
      <c r="L130" s="165"/>
      <c r="M130" s="165"/>
    </row>
    <row r="131" spans="3:13">
      <c r="C131" s="165"/>
      <c r="D131" s="165"/>
      <c r="E131" s="165"/>
      <c r="F131" s="165"/>
      <c r="G131" s="165"/>
      <c r="H131" s="165"/>
      <c r="I131" s="165"/>
      <c r="J131" s="165"/>
      <c r="K131" s="165"/>
      <c r="L131" s="165"/>
      <c r="M131" s="165"/>
    </row>
    <row r="132" spans="3:13">
      <c r="C132" s="165"/>
      <c r="D132" s="165"/>
      <c r="E132" s="165"/>
      <c r="F132" s="165"/>
      <c r="G132" s="165"/>
      <c r="H132" s="165"/>
      <c r="I132" s="165"/>
      <c r="J132" s="165"/>
      <c r="K132" s="165"/>
      <c r="L132" s="165"/>
      <c r="M132" s="165"/>
    </row>
    <row r="133" spans="3:13">
      <c r="C133" s="165"/>
      <c r="D133" s="165"/>
      <c r="E133" s="165"/>
      <c r="F133" s="165"/>
      <c r="G133" s="165"/>
      <c r="H133" s="165"/>
      <c r="I133" s="165"/>
      <c r="J133" s="165"/>
      <c r="K133" s="165"/>
      <c r="L133" s="165"/>
      <c r="M133" s="165"/>
    </row>
    <row r="134" spans="3:13">
      <c r="C134" s="165"/>
      <c r="D134" s="165"/>
      <c r="E134" s="165"/>
      <c r="F134" s="165"/>
      <c r="G134" s="165"/>
      <c r="H134" s="165"/>
      <c r="I134" s="165"/>
      <c r="J134" s="165"/>
      <c r="K134" s="165"/>
      <c r="L134" s="165"/>
      <c r="M134" s="165"/>
    </row>
    <row r="135" spans="3:13">
      <c r="C135" s="165"/>
      <c r="D135" s="165"/>
      <c r="E135" s="165"/>
      <c r="F135" s="165"/>
      <c r="G135" s="165"/>
      <c r="H135" s="165"/>
      <c r="I135" s="165"/>
      <c r="J135" s="165"/>
      <c r="K135" s="165"/>
      <c r="L135" s="165"/>
      <c r="M135" s="165"/>
    </row>
    <row r="136" spans="3:13">
      <c r="C136" s="165"/>
      <c r="D136" s="165"/>
      <c r="E136" s="165"/>
      <c r="F136" s="165"/>
      <c r="G136" s="165"/>
      <c r="H136" s="165"/>
      <c r="I136" s="165"/>
      <c r="J136" s="165"/>
      <c r="K136" s="165"/>
      <c r="L136" s="165"/>
      <c r="M136" s="165"/>
    </row>
    <row r="137" spans="3:13">
      <c r="C137" s="165"/>
      <c r="D137" s="165"/>
      <c r="E137" s="165"/>
      <c r="F137" s="165"/>
      <c r="G137" s="165"/>
      <c r="H137" s="165"/>
      <c r="I137" s="165"/>
      <c r="J137" s="165"/>
      <c r="K137" s="165"/>
      <c r="L137" s="165"/>
      <c r="M137" s="165"/>
    </row>
    <row r="138" spans="3:13">
      <c r="C138" s="165"/>
      <c r="D138" s="165"/>
      <c r="E138" s="165"/>
      <c r="F138" s="165"/>
      <c r="G138" s="165"/>
      <c r="H138" s="165"/>
      <c r="I138" s="165"/>
      <c r="J138" s="165"/>
      <c r="K138" s="165"/>
      <c r="L138" s="165"/>
      <c r="M138" s="165"/>
    </row>
    <row r="139" spans="3:13">
      <c r="C139" s="165"/>
      <c r="D139" s="165"/>
      <c r="E139" s="165"/>
      <c r="F139" s="165"/>
      <c r="G139" s="165"/>
      <c r="H139" s="165"/>
      <c r="I139" s="165"/>
      <c r="J139" s="165"/>
      <c r="K139" s="165"/>
      <c r="L139" s="165"/>
      <c r="M139" s="165"/>
    </row>
    <row r="140" spans="3:13">
      <c r="C140" s="165"/>
      <c r="D140" s="165"/>
      <c r="E140" s="165"/>
      <c r="F140" s="165"/>
      <c r="G140" s="165"/>
      <c r="H140" s="165"/>
      <c r="I140" s="165"/>
      <c r="J140" s="165"/>
      <c r="K140" s="165"/>
      <c r="L140" s="165"/>
      <c r="M140" s="165"/>
    </row>
    <row r="141" spans="3:13">
      <c r="C141" s="165"/>
      <c r="D141" s="165"/>
      <c r="E141" s="165"/>
      <c r="F141" s="165"/>
      <c r="G141" s="165"/>
      <c r="H141" s="165"/>
      <c r="I141" s="165"/>
      <c r="J141" s="165"/>
      <c r="K141" s="165"/>
      <c r="L141" s="165"/>
      <c r="M141" s="165"/>
    </row>
    <row r="142" spans="3:13">
      <c r="C142" s="165"/>
      <c r="D142" s="165"/>
      <c r="E142" s="165"/>
      <c r="F142" s="165"/>
      <c r="G142" s="165"/>
      <c r="H142" s="165"/>
      <c r="I142" s="165"/>
      <c r="J142" s="165"/>
      <c r="K142" s="165"/>
      <c r="L142" s="165"/>
      <c r="M142" s="165"/>
    </row>
    <row r="143" spans="3:13">
      <c r="C143" s="165"/>
      <c r="D143" s="165"/>
      <c r="E143" s="165"/>
      <c r="F143" s="165"/>
      <c r="G143" s="165"/>
      <c r="H143" s="165"/>
      <c r="I143" s="165"/>
      <c r="J143" s="165"/>
      <c r="K143" s="165"/>
      <c r="L143" s="165"/>
      <c r="M143" s="165"/>
    </row>
    <row r="144" spans="3:13">
      <c r="C144" s="165"/>
      <c r="D144" s="165"/>
      <c r="E144" s="165"/>
      <c r="F144" s="165"/>
      <c r="G144" s="165"/>
      <c r="H144" s="165"/>
      <c r="I144" s="165"/>
      <c r="J144" s="165"/>
      <c r="K144" s="165"/>
      <c r="L144" s="165"/>
      <c r="M144" s="165"/>
    </row>
    <row r="145" spans="3:13">
      <c r="C145" s="165"/>
      <c r="D145" s="165"/>
      <c r="E145" s="165"/>
      <c r="F145" s="165"/>
      <c r="G145" s="165"/>
      <c r="H145" s="165"/>
      <c r="I145" s="165"/>
      <c r="J145" s="165"/>
      <c r="K145" s="165"/>
      <c r="L145" s="165"/>
      <c r="M145" s="165"/>
    </row>
    <row r="146" spans="3:13">
      <c r="C146" s="165"/>
      <c r="D146" s="165"/>
      <c r="E146" s="165"/>
      <c r="F146" s="165"/>
      <c r="G146" s="165"/>
      <c r="H146" s="165"/>
      <c r="I146" s="165"/>
      <c r="J146" s="165"/>
      <c r="K146" s="165"/>
      <c r="L146" s="165"/>
      <c r="M146" s="165"/>
    </row>
    <row r="147" spans="3:13">
      <c r="C147" s="165"/>
      <c r="D147" s="165"/>
      <c r="E147" s="165"/>
      <c r="F147" s="165"/>
      <c r="G147" s="165"/>
      <c r="H147" s="165"/>
      <c r="I147" s="165"/>
      <c r="J147" s="165"/>
      <c r="K147" s="165"/>
      <c r="L147" s="165"/>
      <c r="M147" s="165"/>
    </row>
    <row r="148" spans="3:13">
      <c r="C148" s="165"/>
      <c r="D148" s="165"/>
      <c r="E148" s="165"/>
      <c r="F148" s="165"/>
      <c r="G148" s="165"/>
      <c r="H148" s="165"/>
      <c r="I148" s="165"/>
      <c r="J148" s="165"/>
      <c r="K148" s="165"/>
      <c r="L148" s="165"/>
      <c r="M148" s="165"/>
    </row>
    <row r="149" spans="3:13">
      <c r="C149" s="165"/>
      <c r="D149" s="165"/>
      <c r="E149" s="165"/>
      <c r="F149" s="165"/>
      <c r="G149" s="165"/>
      <c r="H149" s="165"/>
      <c r="I149" s="165"/>
      <c r="J149" s="165"/>
      <c r="K149" s="165"/>
      <c r="L149" s="165"/>
      <c r="M149" s="165"/>
    </row>
    <row r="150" spans="3:13">
      <c r="C150" s="165"/>
      <c r="D150" s="165"/>
      <c r="E150" s="165"/>
      <c r="F150" s="165"/>
      <c r="G150" s="165"/>
      <c r="H150" s="165"/>
      <c r="I150" s="165"/>
      <c r="J150" s="165"/>
      <c r="K150" s="165"/>
      <c r="L150" s="165"/>
      <c r="M150" s="165"/>
    </row>
    <row r="151" spans="3:13">
      <c r="C151" s="165"/>
      <c r="D151" s="165"/>
      <c r="E151" s="165"/>
      <c r="F151" s="165"/>
      <c r="G151" s="165"/>
      <c r="H151" s="165"/>
      <c r="I151" s="165"/>
      <c r="J151" s="165"/>
      <c r="K151" s="165"/>
      <c r="L151" s="165"/>
      <c r="M151" s="165"/>
    </row>
    <row r="152" spans="3:13">
      <c r="C152" s="165"/>
      <c r="D152" s="165"/>
      <c r="E152" s="165"/>
      <c r="F152" s="165"/>
      <c r="G152" s="165"/>
      <c r="H152" s="165"/>
      <c r="I152" s="165"/>
      <c r="J152" s="165"/>
      <c r="K152" s="165"/>
      <c r="L152" s="165"/>
      <c r="M152" s="165"/>
    </row>
    <row r="153" spans="3:13">
      <c r="C153" s="165"/>
      <c r="D153" s="165"/>
      <c r="E153" s="165"/>
      <c r="F153" s="165"/>
      <c r="G153" s="165"/>
      <c r="H153" s="165"/>
      <c r="I153" s="165"/>
      <c r="J153" s="165"/>
      <c r="K153" s="165"/>
      <c r="L153" s="165"/>
      <c r="M153" s="165"/>
    </row>
    <row r="154" spans="3:13">
      <c r="C154" s="165"/>
      <c r="D154" s="165"/>
      <c r="E154" s="165"/>
      <c r="F154" s="165"/>
      <c r="G154" s="165"/>
      <c r="H154" s="165"/>
      <c r="I154" s="165"/>
      <c r="J154" s="165"/>
      <c r="K154" s="165"/>
      <c r="L154" s="165"/>
      <c r="M154" s="165"/>
    </row>
    <row r="155" spans="3:13">
      <c r="C155" s="165"/>
      <c r="D155" s="165"/>
      <c r="E155" s="165"/>
      <c r="F155" s="165"/>
      <c r="G155" s="165"/>
      <c r="H155" s="165"/>
      <c r="I155" s="165"/>
      <c r="J155" s="165"/>
      <c r="K155" s="165"/>
      <c r="L155" s="165"/>
      <c r="M155" s="165"/>
    </row>
    <row r="156" spans="3:13">
      <c r="C156" s="165"/>
      <c r="D156" s="165"/>
      <c r="E156" s="165"/>
      <c r="F156" s="165"/>
      <c r="G156" s="165"/>
      <c r="H156" s="165"/>
      <c r="I156" s="165"/>
      <c r="J156" s="165"/>
      <c r="K156" s="165"/>
      <c r="L156" s="165"/>
      <c r="M156" s="165"/>
    </row>
    <row r="157" spans="3:13">
      <c r="C157" s="165"/>
      <c r="D157" s="165"/>
      <c r="E157" s="165"/>
      <c r="F157" s="165"/>
      <c r="G157" s="165"/>
      <c r="H157" s="165"/>
      <c r="I157" s="165"/>
      <c r="J157" s="165"/>
      <c r="K157" s="165"/>
      <c r="L157" s="165"/>
      <c r="M157" s="165"/>
    </row>
    <row r="158" spans="3:13">
      <c r="C158" s="165"/>
      <c r="D158" s="165"/>
      <c r="E158" s="165"/>
      <c r="F158" s="165"/>
      <c r="G158" s="165"/>
      <c r="H158" s="165"/>
      <c r="I158" s="165"/>
      <c r="J158" s="165"/>
      <c r="K158" s="165"/>
      <c r="L158" s="165"/>
      <c r="M158" s="165"/>
    </row>
    <row r="159" spans="3:13">
      <c r="C159" s="165"/>
      <c r="D159" s="165"/>
      <c r="E159" s="165"/>
      <c r="F159" s="165"/>
      <c r="G159" s="165"/>
      <c r="H159" s="165"/>
      <c r="I159" s="165"/>
      <c r="J159" s="165"/>
      <c r="K159" s="165"/>
      <c r="L159" s="165"/>
      <c r="M159" s="165"/>
    </row>
    <row r="160" spans="3:13">
      <c r="C160" s="165"/>
      <c r="D160" s="165"/>
      <c r="E160" s="165"/>
      <c r="F160" s="165"/>
      <c r="G160" s="165"/>
      <c r="H160" s="165"/>
      <c r="I160" s="165"/>
      <c r="J160" s="165"/>
      <c r="K160" s="165"/>
      <c r="L160" s="165"/>
      <c r="M160" s="165"/>
    </row>
    <row r="161" spans="3:13">
      <c r="C161" s="165"/>
      <c r="D161" s="165"/>
      <c r="E161" s="165"/>
      <c r="F161" s="165"/>
      <c r="G161" s="165"/>
      <c r="H161" s="165"/>
      <c r="I161" s="165"/>
      <c r="J161" s="165"/>
      <c r="K161" s="165"/>
      <c r="L161" s="165"/>
      <c r="M161" s="165"/>
    </row>
    <row r="162" spans="3:13">
      <c r="C162" s="165"/>
      <c r="D162" s="165"/>
      <c r="E162" s="165"/>
      <c r="F162" s="165"/>
      <c r="G162" s="165"/>
      <c r="H162" s="165"/>
      <c r="I162" s="165"/>
      <c r="J162" s="165"/>
      <c r="K162" s="165"/>
      <c r="L162" s="165"/>
      <c r="M162" s="165"/>
    </row>
    <row r="163" spans="3:13">
      <c r="C163" s="165"/>
      <c r="D163" s="165"/>
      <c r="E163" s="165"/>
      <c r="F163" s="165"/>
      <c r="G163" s="165"/>
      <c r="H163" s="165"/>
      <c r="I163" s="165"/>
      <c r="J163" s="165"/>
      <c r="K163" s="165"/>
      <c r="L163" s="165"/>
      <c r="M163" s="165"/>
    </row>
    <row r="164" spans="3:13">
      <c r="C164" s="165"/>
      <c r="D164" s="165"/>
      <c r="E164" s="165"/>
      <c r="F164" s="165"/>
      <c r="G164" s="165"/>
      <c r="H164" s="165"/>
      <c r="I164" s="165"/>
      <c r="J164" s="165"/>
      <c r="K164" s="165"/>
      <c r="L164" s="165"/>
      <c r="M164" s="165"/>
    </row>
    <row r="165" spans="3:13">
      <c r="C165" s="165"/>
      <c r="D165" s="165"/>
      <c r="E165" s="165"/>
      <c r="F165" s="165"/>
      <c r="G165" s="165"/>
      <c r="H165" s="165"/>
      <c r="I165" s="165"/>
      <c r="J165" s="165"/>
      <c r="K165" s="165"/>
      <c r="L165" s="165"/>
      <c r="M165" s="165"/>
    </row>
    <row r="166" spans="3:13">
      <c r="C166" s="165"/>
      <c r="D166" s="165"/>
      <c r="E166" s="165"/>
      <c r="F166" s="165"/>
      <c r="G166" s="165"/>
      <c r="H166" s="165"/>
      <c r="I166" s="165"/>
      <c r="J166" s="165"/>
      <c r="K166" s="165"/>
      <c r="L166" s="165"/>
      <c r="M166" s="165"/>
    </row>
    <row r="167" spans="3:13">
      <c r="C167" s="165"/>
      <c r="D167" s="165"/>
      <c r="E167" s="165"/>
      <c r="F167" s="165"/>
      <c r="G167" s="165"/>
      <c r="H167" s="165"/>
      <c r="I167" s="165"/>
      <c r="J167" s="165"/>
      <c r="K167" s="165"/>
      <c r="L167" s="165"/>
      <c r="M167" s="165"/>
    </row>
    <row r="168" spans="3:13">
      <c r="C168" s="165"/>
      <c r="D168" s="165"/>
      <c r="E168" s="165"/>
      <c r="F168" s="165"/>
      <c r="G168" s="165"/>
      <c r="H168" s="165"/>
      <c r="I168" s="165"/>
      <c r="J168" s="165"/>
      <c r="K168" s="165"/>
      <c r="L168" s="165"/>
      <c r="M168" s="165"/>
    </row>
    <row r="169" spans="3:13">
      <c r="C169" s="165"/>
      <c r="D169" s="165"/>
      <c r="E169" s="165"/>
      <c r="F169" s="165"/>
      <c r="G169" s="165"/>
      <c r="H169" s="165"/>
      <c r="I169" s="165"/>
      <c r="J169" s="165"/>
      <c r="K169" s="165"/>
      <c r="L169" s="165"/>
      <c r="M169" s="165"/>
    </row>
    <row r="170" spans="3:13">
      <c r="C170" s="165"/>
      <c r="D170" s="165"/>
      <c r="E170" s="165"/>
      <c r="F170" s="165"/>
      <c r="G170" s="165"/>
      <c r="H170" s="165"/>
      <c r="I170" s="165"/>
      <c r="J170" s="165"/>
      <c r="K170" s="165"/>
      <c r="L170" s="165"/>
      <c r="M170" s="165"/>
    </row>
    <row r="171" spans="3:13">
      <c r="C171" s="165"/>
      <c r="D171" s="165"/>
      <c r="E171" s="165"/>
      <c r="F171" s="165"/>
      <c r="G171" s="165"/>
      <c r="H171" s="165"/>
      <c r="I171" s="165"/>
      <c r="J171" s="165"/>
      <c r="K171" s="165"/>
      <c r="L171" s="165"/>
      <c r="M171" s="165"/>
    </row>
    <row r="172" spans="3:13">
      <c r="C172" s="165"/>
      <c r="D172" s="165"/>
      <c r="E172" s="165"/>
      <c r="F172" s="165"/>
      <c r="G172" s="165"/>
      <c r="H172" s="165"/>
      <c r="I172" s="165"/>
      <c r="J172" s="165"/>
      <c r="K172" s="165"/>
      <c r="L172" s="165"/>
      <c r="M172" s="165"/>
    </row>
    <row r="173" spans="3:13">
      <c r="C173" s="165"/>
      <c r="D173" s="165"/>
      <c r="E173" s="165"/>
      <c r="F173" s="165"/>
      <c r="G173" s="165"/>
      <c r="H173" s="165"/>
      <c r="I173" s="165"/>
      <c r="J173" s="165"/>
      <c r="K173" s="165"/>
      <c r="L173" s="165"/>
      <c r="M173" s="165"/>
    </row>
    <row r="174" spans="3:13">
      <c r="C174" s="165"/>
      <c r="D174" s="165"/>
      <c r="E174" s="165"/>
      <c r="F174" s="165"/>
      <c r="G174" s="165"/>
      <c r="H174" s="165"/>
      <c r="I174" s="165"/>
      <c r="J174" s="165"/>
      <c r="K174" s="165"/>
      <c r="L174" s="165"/>
      <c r="M174" s="165"/>
    </row>
    <row r="175" spans="3:13">
      <c r="C175" s="165"/>
      <c r="D175" s="165"/>
      <c r="E175" s="165"/>
      <c r="F175" s="165"/>
      <c r="G175" s="165"/>
      <c r="H175" s="165"/>
      <c r="I175" s="165"/>
      <c r="J175" s="165"/>
      <c r="K175" s="165"/>
      <c r="L175" s="165"/>
      <c r="M175" s="165"/>
    </row>
    <row r="176" spans="3:13">
      <c r="C176" s="165"/>
      <c r="D176" s="165"/>
      <c r="E176" s="165"/>
      <c r="F176" s="165"/>
      <c r="G176" s="165"/>
      <c r="H176" s="165"/>
      <c r="I176" s="165"/>
      <c r="J176" s="165"/>
      <c r="K176" s="165"/>
      <c r="L176" s="165"/>
      <c r="M176" s="165"/>
    </row>
    <row r="177" spans="3:13">
      <c r="C177" s="165"/>
      <c r="D177" s="165"/>
      <c r="E177" s="165"/>
      <c r="F177" s="165"/>
      <c r="G177" s="165"/>
      <c r="H177" s="165"/>
      <c r="I177" s="165"/>
      <c r="J177" s="165"/>
      <c r="K177" s="165"/>
      <c r="L177" s="165"/>
      <c r="M177" s="165"/>
    </row>
    <row r="178" spans="3:13">
      <c r="C178" s="165"/>
      <c r="D178" s="165"/>
      <c r="E178" s="165"/>
      <c r="F178" s="165"/>
      <c r="G178" s="165"/>
      <c r="H178" s="165"/>
      <c r="I178" s="165"/>
      <c r="J178" s="165"/>
      <c r="K178" s="165"/>
      <c r="L178" s="165"/>
      <c r="M178" s="165"/>
    </row>
    <row r="179" spans="3:13">
      <c r="C179" s="165"/>
      <c r="D179" s="165"/>
      <c r="E179" s="165"/>
      <c r="F179" s="165"/>
      <c r="G179" s="165"/>
      <c r="H179" s="165"/>
      <c r="I179" s="165"/>
      <c r="J179" s="165"/>
      <c r="K179" s="165"/>
      <c r="L179" s="165"/>
      <c r="M179" s="165"/>
    </row>
    <row r="180" spans="3:13">
      <c r="C180" s="165"/>
      <c r="D180" s="165"/>
      <c r="E180" s="165"/>
      <c r="F180" s="165"/>
      <c r="G180" s="165"/>
      <c r="H180" s="165"/>
      <c r="I180" s="165"/>
      <c r="J180" s="165"/>
      <c r="K180" s="165"/>
      <c r="L180" s="165"/>
      <c r="M180" s="165"/>
    </row>
    <row r="181" spans="3:13">
      <c r="C181" s="165"/>
      <c r="D181" s="165"/>
      <c r="E181" s="165"/>
      <c r="F181" s="165"/>
      <c r="G181" s="165"/>
      <c r="H181" s="165"/>
      <c r="I181" s="165"/>
      <c r="J181" s="165"/>
      <c r="K181" s="165"/>
      <c r="L181" s="165"/>
      <c r="M181" s="165"/>
    </row>
    <row r="182" spans="3:13">
      <c r="C182" s="165"/>
      <c r="D182" s="165"/>
      <c r="E182" s="165"/>
      <c r="F182" s="165"/>
      <c r="G182" s="165"/>
      <c r="H182" s="165"/>
      <c r="I182" s="165"/>
      <c r="J182" s="165"/>
      <c r="K182" s="165"/>
      <c r="L182" s="165"/>
      <c r="M182" s="165"/>
    </row>
    <row r="183" spans="3:13">
      <c r="C183" s="165"/>
      <c r="D183" s="165"/>
      <c r="E183" s="165"/>
      <c r="F183" s="165"/>
      <c r="G183" s="165"/>
      <c r="H183" s="165"/>
      <c r="I183" s="165"/>
      <c r="J183" s="165"/>
      <c r="K183" s="165"/>
      <c r="L183" s="165"/>
      <c r="M183" s="165"/>
    </row>
    <row r="184" spans="3:13">
      <c r="C184" s="165"/>
      <c r="D184" s="165"/>
      <c r="E184" s="165"/>
      <c r="F184" s="165"/>
      <c r="G184" s="165"/>
      <c r="H184" s="165"/>
      <c r="I184" s="165"/>
      <c r="J184" s="165"/>
      <c r="K184" s="165"/>
      <c r="L184" s="165"/>
      <c r="M184" s="165"/>
    </row>
    <row r="185" spans="3:13">
      <c r="C185" s="165"/>
      <c r="D185" s="165"/>
      <c r="E185" s="165"/>
      <c r="F185" s="165"/>
      <c r="G185" s="165"/>
      <c r="H185" s="165"/>
      <c r="I185" s="165"/>
      <c r="J185" s="165"/>
      <c r="K185" s="165"/>
      <c r="L185" s="165"/>
      <c r="M185" s="165"/>
    </row>
    <row r="186" spans="3:13">
      <c r="C186" s="165"/>
      <c r="D186" s="165"/>
      <c r="E186" s="165"/>
      <c r="F186" s="165"/>
      <c r="G186" s="165"/>
      <c r="H186" s="165"/>
      <c r="I186" s="165"/>
      <c r="J186" s="165"/>
      <c r="K186" s="165"/>
      <c r="L186" s="165"/>
      <c r="M186" s="165"/>
    </row>
    <row r="187" spans="3:13">
      <c r="C187" s="165"/>
      <c r="D187" s="165"/>
      <c r="E187" s="165"/>
      <c r="F187" s="165"/>
      <c r="G187" s="165"/>
      <c r="H187" s="165"/>
      <c r="I187" s="165"/>
      <c r="J187" s="165"/>
      <c r="K187" s="165"/>
      <c r="L187" s="165"/>
      <c r="M187" s="165"/>
    </row>
    <row r="188" spans="3:13">
      <c r="C188" s="165"/>
      <c r="D188" s="165"/>
      <c r="E188" s="165"/>
      <c r="F188" s="165"/>
      <c r="G188" s="165"/>
      <c r="H188" s="165"/>
      <c r="I188" s="165"/>
      <c r="J188" s="165"/>
      <c r="K188" s="165"/>
      <c r="L188" s="165"/>
      <c r="M188" s="165"/>
    </row>
    <row r="189" spans="3:13">
      <c r="C189" s="165"/>
      <c r="D189" s="165"/>
      <c r="E189" s="165"/>
      <c r="F189" s="165"/>
      <c r="G189" s="165"/>
      <c r="H189" s="165"/>
      <c r="I189" s="165"/>
      <c r="J189" s="165"/>
      <c r="K189" s="165"/>
      <c r="L189" s="165"/>
      <c r="M189" s="165"/>
    </row>
    <row r="190" spans="3:13">
      <c r="C190" s="165"/>
      <c r="D190" s="165"/>
      <c r="E190" s="165"/>
      <c r="F190" s="165"/>
      <c r="G190" s="165"/>
      <c r="H190" s="165"/>
      <c r="I190" s="165"/>
      <c r="J190" s="165"/>
      <c r="K190" s="165"/>
      <c r="L190" s="165"/>
      <c r="M190" s="165"/>
    </row>
    <row r="191" spans="3:13">
      <c r="C191" s="165"/>
      <c r="D191" s="165"/>
      <c r="E191" s="165"/>
      <c r="F191" s="165"/>
      <c r="G191" s="165"/>
      <c r="H191" s="165"/>
      <c r="I191" s="165"/>
      <c r="J191" s="165"/>
      <c r="K191" s="165"/>
      <c r="L191" s="165"/>
      <c r="M191" s="165"/>
    </row>
    <row r="192" spans="3:13">
      <c r="C192" s="165"/>
      <c r="D192" s="165"/>
      <c r="E192" s="165"/>
      <c r="F192" s="165"/>
      <c r="G192" s="165"/>
      <c r="H192" s="165"/>
      <c r="I192" s="165"/>
      <c r="J192" s="165"/>
      <c r="K192" s="165"/>
      <c r="L192" s="165"/>
      <c r="M192" s="165"/>
    </row>
    <row r="193" spans="3:13">
      <c r="C193" s="165"/>
      <c r="D193" s="165"/>
      <c r="E193" s="165"/>
      <c r="F193" s="165"/>
      <c r="G193" s="165"/>
      <c r="H193" s="165"/>
      <c r="I193" s="165"/>
      <c r="J193" s="165"/>
      <c r="K193" s="165"/>
      <c r="L193" s="165"/>
      <c r="M193" s="165"/>
    </row>
    <row r="194" spans="3:13">
      <c r="C194" s="165"/>
      <c r="D194" s="165"/>
      <c r="E194" s="165"/>
      <c r="F194" s="165"/>
      <c r="G194" s="165"/>
      <c r="H194" s="165"/>
      <c r="I194" s="165"/>
      <c r="J194" s="165"/>
      <c r="K194" s="165"/>
      <c r="L194" s="165"/>
      <c r="M194" s="165"/>
    </row>
    <row r="195" spans="3:13">
      <c r="C195" s="165"/>
      <c r="D195" s="165"/>
      <c r="E195" s="165"/>
      <c r="F195" s="165"/>
      <c r="G195" s="165"/>
      <c r="H195" s="165"/>
      <c r="I195" s="165"/>
      <c r="J195" s="165"/>
      <c r="K195" s="165"/>
      <c r="L195" s="165"/>
      <c r="M195" s="165"/>
    </row>
    <row r="196" spans="3:13">
      <c r="C196" s="165"/>
      <c r="D196" s="165"/>
      <c r="E196" s="165"/>
      <c r="F196" s="165"/>
      <c r="G196" s="165"/>
      <c r="H196" s="165"/>
      <c r="I196" s="165"/>
      <c r="J196" s="165"/>
      <c r="K196" s="165"/>
      <c r="L196" s="165"/>
      <c r="M196" s="165"/>
    </row>
    <row r="197" spans="3:13">
      <c r="C197" s="165"/>
      <c r="D197" s="165"/>
      <c r="E197" s="165"/>
      <c r="F197" s="165"/>
      <c r="G197" s="165"/>
      <c r="H197" s="165"/>
      <c r="I197" s="165"/>
      <c r="J197" s="165"/>
      <c r="K197" s="165"/>
      <c r="L197" s="165"/>
      <c r="M197" s="165"/>
    </row>
    <row r="198" spans="3:13">
      <c r="C198" s="165"/>
      <c r="D198" s="165"/>
      <c r="E198" s="165"/>
      <c r="F198" s="165"/>
      <c r="G198" s="165"/>
      <c r="H198" s="165"/>
      <c r="I198" s="165"/>
      <c r="J198" s="165"/>
      <c r="K198" s="165"/>
      <c r="L198" s="165"/>
      <c r="M198" s="165"/>
    </row>
    <row r="199" spans="3:13">
      <c r="C199" s="165"/>
      <c r="D199" s="165"/>
      <c r="E199" s="165"/>
      <c r="F199" s="165"/>
      <c r="G199" s="165"/>
      <c r="H199" s="165"/>
      <c r="I199" s="165"/>
      <c r="J199" s="165"/>
      <c r="K199" s="165"/>
      <c r="L199" s="165"/>
      <c r="M199" s="165"/>
    </row>
    <row r="200" spans="3:13">
      <c r="C200" s="165"/>
      <c r="D200" s="165"/>
      <c r="E200" s="165"/>
      <c r="F200" s="165"/>
      <c r="G200" s="165"/>
      <c r="H200" s="165"/>
      <c r="I200" s="165"/>
      <c r="J200" s="165"/>
      <c r="K200" s="165"/>
      <c r="L200" s="165"/>
      <c r="M200" s="165"/>
    </row>
    <row r="201" spans="3:13">
      <c r="C201" s="165"/>
      <c r="D201" s="165"/>
      <c r="E201" s="165"/>
      <c r="F201" s="165"/>
      <c r="G201" s="165"/>
      <c r="H201" s="165"/>
      <c r="I201" s="165"/>
      <c r="J201" s="165"/>
      <c r="K201" s="165"/>
      <c r="L201" s="165"/>
      <c r="M201" s="165"/>
    </row>
    <row r="202" spans="3:13">
      <c r="C202" s="165"/>
      <c r="D202" s="165"/>
      <c r="E202" s="165"/>
      <c r="F202" s="165"/>
      <c r="G202" s="165"/>
      <c r="H202" s="165"/>
      <c r="I202" s="165"/>
      <c r="J202" s="165"/>
      <c r="K202" s="165"/>
      <c r="L202" s="165"/>
      <c r="M202" s="165"/>
    </row>
    <row r="203" spans="3:13">
      <c r="C203" s="165"/>
      <c r="D203" s="165"/>
      <c r="E203" s="165"/>
      <c r="F203" s="165"/>
      <c r="G203" s="165"/>
      <c r="H203" s="165"/>
      <c r="I203" s="165"/>
      <c r="J203" s="165"/>
      <c r="K203" s="165"/>
      <c r="L203" s="165"/>
      <c r="M203" s="165"/>
    </row>
    <row r="204" spans="3:13">
      <c r="C204" s="165"/>
      <c r="D204" s="165"/>
      <c r="E204" s="165"/>
      <c r="F204" s="165"/>
      <c r="G204" s="165"/>
      <c r="H204" s="165"/>
      <c r="I204" s="165"/>
      <c r="J204" s="165"/>
      <c r="K204" s="165"/>
      <c r="L204" s="165"/>
      <c r="M204" s="165"/>
    </row>
    <row r="205" spans="3:13">
      <c r="C205" s="165"/>
      <c r="D205" s="165"/>
      <c r="E205" s="165"/>
      <c r="F205" s="165"/>
      <c r="G205" s="165"/>
      <c r="H205" s="165"/>
      <c r="I205" s="165"/>
      <c r="J205" s="165"/>
      <c r="K205" s="165"/>
      <c r="L205" s="165"/>
      <c r="M205" s="165"/>
    </row>
    <row r="206" spans="3:13">
      <c r="C206" s="165"/>
      <c r="D206" s="165"/>
      <c r="E206" s="165"/>
      <c r="F206" s="165"/>
      <c r="G206" s="165"/>
      <c r="H206" s="165"/>
      <c r="I206" s="165"/>
      <c r="J206" s="165"/>
      <c r="K206" s="165"/>
      <c r="L206" s="165"/>
      <c r="M206" s="165"/>
    </row>
    <row r="207" spans="3:13">
      <c r="C207" s="165"/>
      <c r="D207" s="165"/>
      <c r="E207" s="165"/>
      <c r="F207" s="165"/>
      <c r="G207" s="165"/>
      <c r="H207" s="165"/>
      <c r="I207" s="165"/>
      <c r="J207" s="165"/>
      <c r="K207" s="165"/>
      <c r="L207" s="165"/>
      <c r="M207" s="165"/>
    </row>
    <row r="208" spans="3:13">
      <c r="C208" s="165"/>
      <c r="D208" s="165"/>
      <c r="E208" s="165"/>
      <c r="F208" s="165"/>
      <c r="G208" s="165"/>
      <c r="H208" s="165"/>
      <c r="I208" s="165"/>
      <c r="J208" s="165"/>
      <c r="K208" s="165"/>
      <c r="L208" s="165"/>
      <c r="M208" s="165"/>
    </row>
    <row r="209" spans="3:13">
      <c r="C209" s="165"/>
      <c r="D209" s="165"/>
      <c r="E209" s="165"/>
      <c r="F209" s="165"/>
      <c r="G209" s="165"/>
      <c r="H209" s="165"/>
      <c r="I209" s="165"/>
      <c r="J209" s="165"/>
      <c r="K209" s="165"/>
      <c r="L209" s="165"/>
      <c r="M209" s="165"/>
    </row>
    <row r="210" spans="3:13">
      <c r="C210" s="165"/>
      <c r="D210" s="165"/>
      <c r="E210" s="165"/>
      <c r="F210" s="165"/>
      <c r="G210" s="165"/>
      <c r="H210" s="165"/>
      <c r="I210" s="165"/>
      <c r="J210" s="165"/>
      <c r="K210" s="165"/>
      <c r="L210" s="165"/>
      <c r="M210" s="165"/>
    </row>
    <row r="211" spans="3:13">
      <c r="C211" s="165"/>
      <c r="D211" s="165"/>
      <c r="E211" s="165"/>
      <c r="F211" s="165"/>
      <c r="G211" s="165"/>
      <c r="H211" s="165"/>
      <c r="I211" s="165"/>
      <c r="J211" s="165"/>
      <c r="K211" s="165"/>
      <c r="L211" s="165"/>
      <c r="M211" s="165"/>
    </row>
    <row r="212" spans="3:13">
      <c r="C212" s="165"/>
      <c r="D212" s="165"/>
      <c r="E212" s="165"/>
      <c r="F212" s="165"/>
      <c r="G212" s="165"/>
      <c r="H212" s="165"/>
      <c r="I212" s="165"/>
      <c r="J212" s="165"/>
      <c r="K212" s="165"/>
      <c r="L212" s="165"/>
      <c r="M212" s="165"/>
    </row>
    <row r="213" spans="3:13">
      <c r="C213" s="165"/>
      <c r="D213" s="165"/>
      <c r="E213" s="165"/>
      <c r="F213" s="165"/>
      <c r="G213" s="165"/>
      <c r="H213" s="165"/>
      <c r="I213" s="165"/>
      <c r="J213" s="165"/>
      <c r="K213" s="165"/>
      <c r="L213" s="165"/>
      <c r="M213" s="165"/>
    </row>
    <row r="214" spans="3:13">
      <c r="C214" s="165"/>
      <c r="D214" s="165"/>
      <c r="E214" s="165"/>
      <c r="F214" s="165"/>
      <c r="G214" s="165"/>
      <c r="H214" s="165"/>
      <c r="I214" s="165"/>
      <c r="J214" s="165"/>
      <c r="K214" s="165"/>
      <c r="L214" s="165"/>
      <c r="M214" s="165"/>
    </row>
    <row r="215" spans="3:13">
      <c r="C215" s="165"/>
      <c r="D215" s="165"/>
      <c r="E215" s="165"/>
      <c r="F215" s="165"/>
      <c r="G215" s="165"/>
      <c r="H215" s="165"/>
      <c r="I215" s="165"/>
      <c r="J215" s="165"/>
      <c r="K215" s="165"/>
      <c r="L215" s="165"/>
      <c r="M215" s="165"/>
    </row>
    <row r="216" spans="3:13">
      <c r="C216" s="165"/>
      <c r="D216" s="165"/>
      <c r="E216" s="165"/>
      <c r="F216" s="165"/>
      <c r="G216" s="165"/>
      <c r="H216" s="165"/>
      <c r="I216" s="165"/>
      <c r="J216" s="165"/>
      <c r="K216" s="165"/>
      <c r="L216" s="165"/>
      <c r="M216" s="165"/>
    </row>
    <row r="217" spans="3:13">
      <c r="C217" s="165"/>
      <c r="D217" s="165"/>
      <c r="E217" s="165"/>
      <c r="F217" s="165"/>
      <c r="G217" s="165"/>
      <c r="H217" s="165"/>
      <c r="I217" s="165"/>
      <c r="J217" s="165"/>
      <c r="K217" s="165"/>
      <c r="L217" s="165"/>
      <c r="M217" s="165"/>
    </row>
    <row r="218" spans="3:13">
      <c r="C218" s="165"/>
      <c r="D218" s="165"/>
      <c r="E218" s="165"/>
      <c r="F218" s="165"/>
      <c r="G218" s="165"/>
      <c r="H218" s="165"/>
      <c r="I218" s="165"/>
      <c r="J218" s="165"/>
      <c r="K218" s="165"/>
      <c r="L218" s="165"/>
      <c r="M218" s="165"/>
    </row>
    <row r="219" spans="3:13">
      <c r="C219" s="165"/>
      <c r="D219" s="165"/>
      <c r="E219" s="165"/>
      <c r="F219" s="165"/>
      <c r="G219" s="165"/>
      <c r="H219" s="165"/>
      <c r="I219" s="165"/>
      <c r="J219" s="165"/>
      <c r="K219" s="165"/>
      <c r="L219" s="165"/>
      <c r="M219" s="165"/>
    </row>
    <row r="220" spans="3:13">
      <c r="C220" s="165"/>
      <c r="D220" s="165"/>
      <c r="E220" s="165"/>
      <c r="F220" s="165"/>
      <c r="G220" s="165"/>
      <c r="H220" s="165"/>
      <c r="I220" s="165"/>
      <c r="J220" s="165"/>
      <c r="K220" s="165"/>
      <c r="L220" s="165"/>
      <c r="M220" s="165"/>
    </row>
    <row r="221" spans="3:13">
      <c r="C221" s="165"/>
      <c r="D221" s="165"/>
      <c r="E221" s="165"/>
      <c r="F221" s="165"/>
      <c r="G221" s="165"/>
      <c r="H221" s="165"/>
      <c r="I221" s="165"/>
      <c r="J221" s="165"/>
      <c r="K221" s="165"/>
      <c r="L221" s="165"/>
      <c r="M221" s="165"/>
    </row>
    <row r="222" spans="3:13">
      <c r="C222" s="165"/>
      <c r="D222" s="165"/>
      <c r="E222" s="165"/>
      <c r="F222" s="165"/>
      <c r="G222" s="165"/>
      <c r="H222" s="165"/>
      <c r="I222" s="165"/>
      <c r="J222" s="165"/>
      <c r="K222" s="165"/>
      <c r="L222" s="165"/>
      <c r="M222" s="165"/>
    </row>
    <row r="223" spans="3:13">
      <c r="C223" s="165"/>
      <c r="D223" s="165"/>
      <c r="E223" s="165"/>
      <c r="F223" s="165"/>
      <c r="G223" s="165"/>
      <c r="H223" s="165"/>
      <c r="I223" s="165"/>
      <c r="J223" s="165"/>
      <c r="K223" s="165"/>
      <c r="L223" s="165"/>
      <c r="M223" s="165"/>
    </row>
    <row r="224" spans="3:13">
      <c r="C224" s="165"/>
      <c r="D224" s="165"/>
      <c r="E224" s="165"/>
      <c r="F224" s="165"/>
      <c r="G224" s="165"/>
      <c r="H224" s="165"/>
      <c r="I224" s="165"/>
      <c r="J224" s="165"/>
      <c r="K224" s="165"/>
      <c r="L224" s="165"/>
      <c r="M224" s="165"/>
    </row>
    <row r="225" spans="3:13">
      <c r="C225" s="165"/>
      <c r="D225" s="165"/>
      <c r="E225" s="165"/>
      <c r="F225" s="165"/>
      <c r="G225" s="165"/>
      <c r="H225" s="165"/>
      <c r="I225" s="165"/>
      <c r="J225" s="165"/>
      <c r="K225" s="165"/>
      <c r="L225" s="165"/>
      <c r="M225" s="165"/>
    </row>
    <row r="226" spans="3:13">
      <c r="C226" s="165"/>
      <c r="D226" s="165"/>
      <c r="E226" s="165"/>
      <c r="F226" s="165"/>
      <c r="G226" s="165"/>
      <c r="H226" s="165"/>
      <c r="I226" s="165"/>
      <c r="J226" s="165"/>
      <c r="K226" s="165"/>
      <c r="L226" s="165"/>
      <c r="M226" s="165"/>
    </row>
    <row r="227" spans="3:13">
      <c r="C227" s="165"/>
      <c r="D227" s="165"/>
      <c r="E227" s="165"/>
      <c r="F227" s="165"/>
      <c r="G227" s="165"/>
      <c r="H227" s="165"/>
      <c r="I227" s="165"/>
      <c r="J227" s="165"/>
      <c r="K227" s="165"/>
      <c r="L227" s="165"/>
      <c r="M227" s="165"/>
    </row>
    <row r="228" spans="3:13">
      <c r="C228" s="165"/>
      <c r="D228" s="165"/>
      <c r="E228" s="165"/>
      <c r="F228" s="165"/>
      <c r="G228" s="165"/>
      <c r="H228" s="165"/>
      <c r="I228" s="165"/>
      <c r="J228" s="165"/>
      <c r="K228" s="165"/>
      <c r="L228" s="165"/>
      <c r="M228" s="165"/>
    </row>
    <row r="229" spans="3:13">
      <c r="C229" s="165"/>
      <c r="D229" s="165"/>
      <c r="E229" s="165"/>
      <c r="F229" s="165"/>
      <c r="G229" s="165"/>
      <c r="H229" s="165"/>
      <c r="I229" s="165"/>
      <c r="J229" s="165"/>
      <c r="K229" s="165"/>
      <c r="L229" s="165"/>
      <c r="M229" s="165"/>
    </row>
    <row r="230" spans="3:13">
      <c r="C230" s="165"/>
      <c r="D230" s="165"/>
      <c r="E230" s="165"/>
      <c r="F230" s="165"/>
      <c r="G230" s="165"/>
      <c r="H230" s="165"/>
      <c r="I230" s="165"/>
      <c r="J230" s="165"/>
      <c r="K230" s="165"/>
      <c r="L230" s="165"/>
      <c r="M230" s="165"/>
    </row>
    <row r="231" spans="3:13">
      <c r="C231" s="165"/>
      <c r="D231" s="165"/>
      <c r="E231" s="165"/>
      <c r="F231" s="165"/>
      <c r="G231" s="165"/>
      <c r="H231" s="165"/>
      <c r="I231" s="165"/>
      <c r="J231" s="165"/>
      <c r="K231" s="165"/>
      <c r="L231" s="165"/>
      <c r="M231" s="165"/>
    </row>
    <row r="232" spans="3:13">
      <c r="C232" s="165"/>
      <c r="D232" s="165"/>
      <c r="E232" s="165"/>
      <c r="F232" s="165"/>
      <c r="G232" s="165"/>
      <c r="H232" s="165"/>
      <c r="I232" s="165"/>
      <c r="J232" s="165"/>
      <c r="K232" s="165"/>
      <c r="L232" s="165"/>
      <c r="M232" s="165"/>
    </row>
    <row r="233" spans="3:13">
      <c r="C233" s="165"/>
      <c r="D233" s="165"/>
      <c r="E233" s="165"/>
      <c r="F233" s="165"/>
      <c r="G233" s="165"/>
      <c r="H233" s="165"/>
      <c r="I233" s="165"/>
      <c r="J233" s="165"/>
      <c r="K233" s="165"/>
      <c r="L233" s="165"/>
      <c r="M233" s="165"/>
    </row>
    <row r="234" spans="3:13">
      <c r="C234" s="165"/>
      <c r="D234" s="165"/>
      <c r="E234" s="165"/>
      <c r="F234" s="165"/>
      <c r="G234" s="165"/>
      <c r="H234" s="165"/>
      <c r="I234" s="165"/>
      <c r="J234" s="165"/>
      <c r="K234" s="165"/>
      <c r="L234" s="165"/>
      <c r="M234" s="165"/>
    </row>
    <row r="235" spans="3:13">
      <c r="C235" s="165"/>
      <c r="D235" s="165"/>
      <c r="E235" s="165"/>
      <c r="F235" s="165"/>
      <c r="G235" s="165"/>
      <c r="H235" s="165"/>
      <c r="I235" s="165"/>
      <c r="J235" s="165"/>
      <c r="K235" s="165"/>
      <c r="L235" s="165"/>
      <c r="M235" s="165"/>
    </row>
    <row r="236" spans="3:13">
      <c r="C236" s="165"/>
      <c r="D236" s="165"/>
      <c r="E236" s="165"/>
      <c r="F236" s="165"/>
      <c r="G236" s="165"/>
      <c r="H236" s="165"/>
      <c r="I236" s="165"/>
      <c r="J236" s="165"/>
      <c r="K236" s="165"/>
      <c r="L236" s="165"/>
      <c r="M236" s="165"/>
    </row>
    <row r="237" spans="3:13">
      <c r="C237" s="165"/>
      <c r="D237" s="165"/>
      <c r="E237" s="165"/>
      <c r="F237" s="165"/>
      <c r="G237" s="165"/>
      <c r="H237" s="165"/>
      <c r="I237" s="165"/>
      <c r="J237" s="165"/>
      <c r="K237" s="165"/>
      <c r="L237" s="165"/>
      <c r="M237" s="165"/>
    </row>
    <row r="238" spans="3:13">
      <c r="C238" s="165"/>
      <c r="D238" s="165"/>
      <c r="E238" s="165"/>
      <c r="F238" s="165"/>
      <c r="G238" s="165"/>
      <c r="H238" s="165"/>
      <c r="I238" s="165"/>
      <c r="J238" s="165"/>
      <c r="K238" s="165"/>
      <c r="L238" s="165"/>
      <c r="M238" s="165"/>
    </row>
    <row r="239" spans="3:13">
      <c r="C239" s="165"/>
      <c r="D239" s="165"/>
      <c r="E239" s="165"/>
      <c r="F239" s="165"/>
      <c r="G239" s="165"/>
      <c r="H239" s="165"/>
      <c r="I239" s="165"/>
      <c r="J239" s="165"/>
      <c r="K239" s="165"/>
      <c r="L239" s="165"/>
      <c r="M239" s="165"/>
    </row>
    <row r="240" spans="3:13">
      <c r="C240" s="165"/>
      <c r="D240" s="165"/>
      <c r="E240" s="165"/>
      <c r="F240" s="165"/>
      <c r="G240" s="165"/>
      <c r="H240" s="165"/>
      <c r="I240" s="165"/>
      <c r="J240" s="165"/>
      <c r="K240" s="165"/>
      <c r="L240" s="165"/>
      <c r="M240" s="165"/>
    </row>
    <row r="241" spans="3:13">
      <c r="C241" s="165"/>
      <c r="D241" s="165"/>
      <c r="E241" s="165"/>
      <c r="F241" s="165"/>
      <c r="G241" s="165"/>
      <c r="H241" s="165"/>
      <c r="I241" s="165"/>
      <c r="J241" s="165"/>
      <c r="K241" s="165"/>
      <c r="L241" s="165"/>
      <c r="M241" s="165"/>
    </row>
    <row r="242" spans="3:13">
      <c r="C242" s="165"/>
      <c r="D242" s="165"/>
      <c r="E242" s="165"/>
      <c r="F242" s="165"/>
      <c r="G242" s="165"/>
      <c r="H242" s="165"/>
      <c r="I242" s="165"/>
      <c r="J242" s="165"/>
      <c r="K242" s="165"/>
      <c r="L242" s="165"/>
      <c r="M242" s="165"/>
    </row>
    <row r="243" spans="3:13">
      <c r="C243" s="165"/>
      <c r="D243" s="165"/>
      <c r="E243" s="165"/>
      <c r="F243" s="165"/>
      <c r="G243" s="165"/>
      <c r="H243" s="165"/>
      <c r="I243" s="165"/>
      <c r="J243" s="165"/>
      <c r="K243" s="165"/>
      <c r="L243" s="165"/>
      <c r="M243" s="165"/>
    </row>
    <row r="244" spans="3:13">
      <c r="C244" s="165"/>
      <c r="D244" s="165"/>
      <c r="E244" s="165"/>
      <c r="F244" s="165"/>
      <c r="G244" s="165"/>
      <c r="H244" s="165"/>
      <c r="I244" s="165"/>
      <c r="J244" s="165"/>
      <c r="K244" s="165"/>
      <c r="L244" s="165"/>
      <c r="M244" s="165"/>
    </row>
    <row r="245" spans="3:13">
      <c r="C245" s="165"/>
      <c r="D245" s="165"/>
      <c r="E245" s="165"/>
      <c r="F245" s="165"/>
      <c r="G245" s="165"/>
      <c r="H245" s="165"/>
      <c r="I245" s="165"/>
      <c r="J245" s="165"/>
      <c r="K245" s="165"/>
      <c r="L245" s="165"/>
      <c r="M245" s="165"/>
    </row>
    <row r="246" spans="3:13">
      <c r="C246" s="165"/>
      <c r="D246" s="165"/>
      <c r="E246" s="165"/>
      <c r="F246" s="165"/>
      <c r="G246" s="165"/>
      <c r="H246" s="165"/>
      <c r="I246" s="165"/>
      <c r="J246" s="165"/>
      <c r="K246" s="165"/>
      <c r="L246" s="165"/>
      <c r="M246" s="165"/>
    </row>
    <row r="247" spans="3:13">
      <c r="C247" s="165"/>
      <c r="D247" s="165"/>
      <c r="E247" s="165"/>
      <c r="F247" s="165"/>
      <c r="G247" s="165"/>
      <c r="H247" s="165"/>
      <c r="I247" s="165"/>
      <c r="J247" s="165"/>
      <c r="K247" s="165"/>
      <c r="L247" s="165"/>
      <c r="M247" s="165"/>
    </row>
    <row r="248" spans="3:13">
      <c r="C248" s="165"/>
      <c r="D248" s="165"/>
      <c r="E248" s="165"/>
      <c r="F248" s="165"/>
      <c r="G248" s="165"/>
      <c r="H248" s="165"/>
      <c r="I248" s="165"/>
      <c r="J248" s="165"/>
      <c r="K248" s="165"/>
      <c r="L248" s="165"/>
      <c r="M248" s="165"/>
    </row>
    <row r="249" spans="3:13">
      <c r="C249" s="165"/>
      <c r="D249" s="165"/>
      <c r="E249" s="165"/>
      <c r="F249" s="165"/>
      <c r="G249" s="165"/>
      <c r="H249" s="165"/>
      <c r="I249" s="165"/>
      <c r="J249" s="165"/>
      <c r="K249" s="165"/>
      <c r="L249" s="165"/>
      <c r="M249" s="165"/>
    </row>
    <row r="250" spans="3:13">
      <c r="C250" s="165"/>
      <c r="D250" s="165"/>
      <c r="E250" s="165"/>
      <c r="F250" s="165"/>
      <c r="G250" s="165"/>
      <c r="H250" s="165"/>
      <c r="I250" s="165"/>
      <c r="J250" s="165"/>
      <c r="K250" s="165"/>
      <c r="L250" s="165"/>
      <c r="M250" s="165"/>
    </row>
    <row r="251" spans="3:13">
      <c r="C251" s="165"/>
      <c r="D251" s="165"/>
      <c r="E251" s="165"/>
      <c r="F251" s="165"/>
      <c r="G251" s="165"/>
      <c r="H251" s="165"/>
      <c r="I251" s="165"/>
      <c r="J251" s="165"/>
      <c r="K251" s="165"/>
      <c r="L251" s="165"/>
      <c r="M251" s="165"/>
    </row>
    <row r="252" spans="3:13">
      <c r="C252" s="165"/>
      <c r="D252" s="165"/>
      <c r="E252" s="165"/>
      <c r="F252" s="165"/>
      <c r="G252" s="165"/>
      <c r="H252" s="165"/>
      <c r="I252" s="165"/>
      <c r="J252" s="165"/>
      <c r="K252" s="165"/>
      <c r="L252" s="165"/>
      <c r="M252" s="165"/>
    </row>
    <row r="253" spans="3:13">
      <c r="C253" s="165"/>
      <c r="D253" s="165"/>
      <c r="E253" s="165"/>
      <c r="F253" s="165"/>
      <c r="G253" s="165"/>
      <c r="H253" s="165"/>
      <c r="I253" s="165"/>
      <c r="J253" s="165"/>
      <c r="K253" s="165"/>
      <c r="L253" s="165"/>
      <c r="M253" s="165"/>
    </row>
    <row r="254" spans="3:13">
      <c r="C254" s="165"/>
      <c r="D254" s="165"/>
      <c r="E254" s="165"/>
      <c r="F254" s="165"/>
      <c r="G254" s="165"/>
      <c r="H254" s="165"/>
      <c r="I254" s="165"/>
      <c r="J254" s="165"/>
      <c r="K254" s="165"/>
      <c r="L254" s="165"/>
      <c r="M254" s="165"/>
    </row>
    <row r="255" spans="3:13">
      <c r="C255" s="165"/>
      <c r="D255" s="165"/>
      <c r="E255" s="165"/>
      <c r="F255" s="165"/>
      <c r="G255" s="165"/>
      <c r="H255" s="165"/>
      <c r="I255" s="165"/>
      <c r="J255" s="165"/>
      <c r="K255" s="165"/>
      <c r="L255" s="165"/>
      <c r="M255" s="165"/>
    </row>
    <row r="256" spans="3:13">
      <c r="C256" s="165"/>
      <c r="D256" s="165"/>
      <c r="E256" s="165"/>
      <c r="F256" s="165"/>
      <c r="G256" s="165"/>
      <c r="H256" s="165"/>
      <c r="I256" s="165"/>
      <c r="J256" s="165"/>
      <c r="K256" s="165"/>
      <c r="L256" s="165"/>
      <c r="M256" s="165"/>
    </row>
    <row r="257" spans="3:13">
      <c r="C257" s="165"/>
      <c r="D257" s="165"/>
      <c r="E257" s="165"/>
      <c r="F257" s="165"/>
      <c r="G257" s="165"/>
      <c r="H257" s="165"/>
      <c r="I257" s="165"/>
      <c r="J257" s="165"/>
      <c r="K257" s="165"/>
      <c r="L257" s="165"/>
      <c r="M257" s="165"/>
    </row>
    <row r="258" spans="3:13">
      <c r="C258" s="165"/>
      <c r="D258" s="165"/>
      <c r="E258" s="165"/>
      <c r="F258" s="165"/>
      <c r="G258" s="165"/>
      <c r="H258" s="165"/>
      <c r="I258" s="165"/>
      <c r="J258" s="165"/>
      <c r="K258" s="165"/>
      <c r="L258" s="165"/>
      <c r="M258" s="165"/>
    </row>
    <row r="259" spans="3:13">
      <c r="C259" s="165"/>
      <c r="D259" s="165"/>
      <c r="E259" s="165"/>
      <c r="F259" s="165"/>
      <c r="G259" s="165"/>
      <c r="H259" s="165"/>
      <c r="I259" s="165"/>
      <c r="J259" s="165"/>
      <c r="K259" s="165"/>
      <c r="L259" s="165"/>
      <c r="M259" s="165"/>
    </row>
    <row r="260" spans="3:13">
      <c r="C260" s="165"/>
      <c r="D260" s="165"/>
      <c r="E260" s="165"/>
      <c r="F260" s="165"/>
      <c r="G260" s="165"/>
      <c r="H260" s="165"/>
      <c r="I260" s="165"/>
      <c r="J260" s="165"/>
      <c r="K260" s="165"/>
      <c r="L260" s="165"/>
      <c r="M260" s="165"/>
    </row>
    <row r="261" spans="3:13">
      <c r="C261" s="165"/>
      <c r="D261" s="165"/>
      <c r="E261" s="165"/>
      <c r="F261" s="165"/>
      <c r="G261" s="165"/>
      <c r="H261" s="165"/>
      <c r="I261" s="165"/>
      <c r="J261" s="165"/>
      <c r="K261" s="165"/>
      <c r="L261" s="165"/>
      <c r="M261" s="165"/>
    </row>
    <row r="262" spans="3:13">
      <c r="C262" s="165"/>
      <c r="D262" s="165"/>
      <c r="E262" s="165"/>
      <c r="F262" s="165"/>
      <c r="G262" s="165"/>
      <c r="H262" s="165"/>
      <c r="I262" s="165"/>
      <c r="J262" s="165"/>
      <c r="K262" s="165"/>
      <c r="L262" s="165"/>
      <c r="M262" s="165"/>
    </row>
    <row r="263" spans="3:13">
      <c r="C263" s="165"/>
      <c r="D263" s="165"/>
      <c r="E263" s="165"/>
      <c r="F263" s="165"/>
      <c r="G263" s="165"/>
      <c r="H263" s="165"/>
      <c r="I263" s="165"/>
      <c r="J263" s="165"/>
      <c r="K263" s="165"/>
      <c r="L263" s="165"/>
      <c r="M263" s="165"/>
    </row>
    <row r="264" spans="3:13">
      <c r="C264" s="165"/>
      <c r="D264" s="165"/>
      <c r="E264" s="165"/>
      <c r="F264" s="165"/>
      <c r="G264" s="165"/>
      <c r="H264" s="165"/>
      <c r="I264" s="165"/>
      <c r="J264" s="165"/>
      <c r="K264" s="165"/>
      <c r="L264" s="165"/>
      <c r="M264" s="165"/>
    </row>
    <row r="265" spans="3:13">
      <c r="C265" s="165"/>
      <c r="D265" s="165"/>
      <c r="E265" s="165"/>
      <c r="F265" s="165"/>
      <c r="G265" s="165"/>
      <c r="H265" s="165"/>
      <c r="I265" s="165"/>
      <c r="J265" s="165"/>
      <c r="K265" s="165"/>
      <c r="L265" s="165"/>
      <c r="M265" s="165"/>
    </row>
    <row r="266" spans="3:13">
      <c r="C266" s="165"/>
      <c r="D266" s="165"/>
      <c r="E266" s="165"/>
      <c r="F266" s="165"/>
      <c r="G266" s="165"/>
      <c r="H266" s="165"/>
      <c r="I266" s="165"/>
      <c r="J266" s="165"/>
      <c r="K266" s="165"/>
      <c r="L266" s="165"/>
      <c r="M266" s="165"/>
    </row>
    <row r="267" spans="3:13">
      <c r="C267" s="165"/>
      <c r="D267" s="165"/>
      <c r="E267" s="165"/>
      <c r="F267" s="165"/>
      <c r="G267" s="165"/>
      <c r="H267" s="165"/>
      <c r="I267" s="165"/>
      <c r="J267" s="165"/>
      <c r="K267" s="165"/>
      <c r="L267" s="165"/>
      <c r="M267" s="165"/>
    </row>
    <row r="268" spans="3:13">
      <c r="C268" s="165"/>
      <c r="D268" s="165"/>
      <c r="E268" s="165"/>
      <c r="F268" s="165"/>
      <c r="G268" s="165"/>
      <c r="H268" s="165"/>
      <c r="I268" s="165"/>
      <c r="J268" s="165"/>
      <c r="K268" s="165"/>
      <c r="L268" s="165"/>
      <c r="M268" s="165"/>
    </row>
    <row r="269" spans="3:13">
      <c r="C269" s="165"/>
      <c r="D269" s="165"/>
      <c r="E269" s="165"/>
      <c r="F269" s="165"/>
      <c r="G269" s="165"/>
      <c r="H269" s="165"/>
      <c r="I269" s="165"/>
      <c r="J269" s="165"/>
      <c r="K269" s="165"/>
      <c r="L269" s="165"/>
      <c r="M269" s="165"/>
    </row>
    <row r="270" spans="3:13">
      <c r="C270" s="165"/>
      <c r="D270" s="165"/>
      <c r="E270" s="165"/>
      <c r="F270" s="165"/>
      <c r="G270" s="165"/>
      <c r="H270" s="165"/>
      <c r="I270" s="165"/>
      <c r="J270" s="165"/>
      <c r="K270" s="165"/>
      <c r="L270" s="165"/>
      <c r="M270" s="165"/>
    </row>
    <row r="271" spans="3:13">
      <c r="C271" s="165"/>
      <c r="D271" s="165"/>
      <c r="E271" s="165"/>
      <c r="F271" s="165"/>
      <c r="G271" s="165"/>
      <c r="H271" s="165"/>
      <c r="I271" s="165"/>
      <c r="J271" s="165"/>
      <c r="K271" s="165"/>
      <c r="L271" s="165"/>
      <c r="M271" s="165"/>
    </row>
    <row r="272" spans="3:13">
      <c r="C272" s="165"/>
      <c r="D272" s="165"/>
      <c r="E272" s="165"/>
      <c r="F272" s="165"/>
      <c r="G272" s="165"/>
      <c r="H272" s="165"/>
      <c r="I272" s="165"/>
      <c r="J272" s="165"/>
      <c r="K272" s="165"/>
      <c r="L272" s="165"/>
      <c r="M272" s="165"/>
    </row>
    <row r="273" spans="3:13">
      <c r="C273" s="165"/>
      <c r="D273" s="165"/>
      <c r="E273" s="165"/>
      <c r="F273" s="165"/>
      <c r="G273" s="165"/>
      <c r="H273" s="165"/>
      <c r="I273" s="165"/>
      <c r="J273" s="165"/>
      <c r="K273" s="165"/>
      <c r="L273" s="165"/>
      <c r="M273" s="165"/>
    </row>
    <row r="274" spans="3:13">
      <c r="C274" s="165"/>
      <c r="D274" s="165"/>
      <c r="E274" s="165"/>
      <c r="F274" s="165"/>
      <c r="G274" s="165"/>
      <c r="H274" s="165"/>
      <c r="I274" s="165"/>
      <c r="J274" s="165"/>
      <c r="K274" s="165"/>
      <c r="L274" s="165"/>
      <c r="M274" s="165"/>
    </row>
    <row r="275" spans="3:13">
      <c r="C275" s="165"/>
      <c r="D275" s="165"/>
      <c r="E275" s="165"/>
      <c r="F275" s="165"/>
      <c r="G275" s="165"/>
      <c r="H275" s="165"/>
      <c r="I275" s="165"/>
      <c r="J275" s="165"/>
      <c r="K275" s="165"/>
      <c r="L275" s="165"/>
      <c r="M275" s="165"/>
    </row>
    <row r="276" spans="3:13">
      <c r="C276" s="165"/>
      <c r="D276" s="165"/>
      <c r="E276" s="165"/>
      <c r="F276" s="165"/>
      <c r="G276" s="165"/>
      <c r="H276" s="165"/>
      <c r="I276" s="165"/>
      <c r="J276" s="165"/>
      <c r="K276" s="165"/>
      <c r="L276" s="165"/>
      <c r="M276" s="165"/>
    </row>
    <row r="277" spans="3:13">
      <c r="C277" s="165"/>
      <c r="D277" s="165"/>
      <c r="E277" s="165"/>
      <c r="F277" s="165"/>
      <c r="G277" s="165"/>
      <c r="H277" s="165"/>
      <c r="I277" s="165"/>
      <c r="J277" s="165"/>
      <c r="K277" s="165"/>
      <c r="L277" s="165"/>
      <c r="M277" s="165"/>
    </row>
    <row r="278" spans="3:13">
      <c r="C278" s="165"/>
      <c r="D278" s="165"/>
      <c r="E278" s="165"/>
      <c r="F278" s="165"/>
      <c r="G278" s="165"/>
      <c r="H278" s="165"/>
      <c r="I278" s="165"/>
      <c r="J278" s="165"/>
      <c r="K278" s="165"/>
      <c r="L278" s="165"/>
      <c r="M278" s="165"/>
    </row>
    <row r="279" spans="3:13">
      <c r="C279" s="165"/>
      <c r="D279" s="165"/>
      <c r="E279" s="165"/>
      <c r="F279" s="165"/>
      <c r="G279" s="165"/>
      <c r="H279" s="165"/>
      <c r="I279" s="165"/>
      <c r="J279" s="165"/>
      <c r="K279" s="165"/>
      <c r="L279" s="165"/>
      <c r="M279" s="165"/>
    </row>
    <row r="280" spans="3:13">
      <c r="C280" s="165"/>
      <c r="D280" s="165"/>
      <c r="E280" s="165"/>
      <c r="F280" s="165"/>
      <c r="G280" s="165"/>
      <c r="H280" s="165"/>
      <c r="I280" s="165"/>
      <c r="J280" s="165"/>
      <c r="K280" s="165"/>
      <c r="L280" s="165"/>
      <c r="M280" s="165"/>
    </row>
    <row r="281" spans="3:13">
      <c r="C281" s="165"/>
      <c r="D281" s="165"/>
      <c r="E281" s="165"/>
      <c r="F281" s="165"/>
      <c r="G281" s="165"/>
      <c r="H281" s="165"/>
      <c r="I281" s="165"/>
      <c r="J281" s="165"/>
      <c r="K281" s="165"/>
      <c r="L281" s="165"/>
      <c r="M281" s="165"/>
    </row>
    <row r="282" spans="3:13">
      <c r="C282" s="165"/>
      <c r="D282" s="165"/>
      <c r="E282" s="165"/>
      <c r="F282" s="165"/>
      <c r="G282" s="165"/>
      <c r="H282" s="165"/>
      <c r="I282" s="165"/>
      <c r="J282" s="165"/>
      <c r="K282" s="165"/>
      <c r="L282" s="165"/>
      <c r="M282" s="165"/>
    </row>
    <row r="283" spans="3:13">
      <c r="C283" s="165"/>
      <c r="D283" s="165"/>
      <c r="E283" s="165"/>
      <c r="F283" s="165"/>
      <c r="G283" s="165"/>
      <c r="H283" s="165"/>
      <c r="I283" s="165"/>
      <c r="J283" s="165"/>
      <c r="K283" s="165"/>
      <c r="L283" s="165"/>
      <c r="M283" s="165"/>
    </row>
    <row r="284" spans="3:13">
      <c r="C284" s="165"/>
      <c r="D284" s="165"/>
      <c r="E284" s="165"/>
      <c r="F284" s="165"/>
      <c r="G284" s="165"/>
      <c r="H284" s="165"/>
      <c r="I284" s="165"/>
      <c r="J284" s="165"/>
      <c r="K284" s="165"/>
      <c r="L284" s="165"/>
      <c r="M284" s="165"/>
    </row>
    <row r="285" spans="3:13">
      <c r="C285" s="165"/>
      <c r="D285" s="165"/>
      <c r="E285" s="165"/>
      <c r="F285" s="165"/>
      <c r="G285" s="165"/>
      <c r="H285" s="165"/>
      <c r="I285" s="165"/>
      <c r="J285" s="165"/>
      <c r="K285" s="165"/>
      <c r="L285" s="165"/>
      <c r="M285" s="165"/>
    </row>
    <row r="286" spans="3:13">
      <c r="C286" s="165"/>
      <c r="D286" s="165"/>
      <c r="E286" s="165"/>
      <c r="F286" s="165"/>
      <c r="G286" s="165"/>
      <c r="H286" s="165"/>
      <c r="I286" s="165"/>
      <c r="J286" s="165"/>
      <c r="K286" s="165"/>
      <c r="L286" s="165"/>
      <c r="M286" s="165"/>
    </row>
    <row r="287" spans="3:13">
      <c r="C287" s="165"/>
      <c r="D287" s="165"/>
      <c r="E287" s="165"/>
      <c r="F287" s="165"/>
      <c r="G287" s="165"/>
      <c r="H287" s="165"/>
      <c r="I287" s="165"/>
      <c r="J287" s="165"/>
      <c r="K287" s="165"/>
      <c r="L287" s="165"/>
      <c r="M287" s="165"/>
    </row>
    <row r="288" spans="3:13">
      <c r="C288" s="165"/>
      <c r="D288" s="165"/>
      <c r="E288" s="165"/>
      <c r="F288" s="165"/>
      <c r="G288" s="165"/>
      <c r="H288" s="165"/>
      <c r="I288" s="165"/>
      <c r="J288" s="165"/>
      <c r="K288" s="165"/>
      <c r="L288" s="165"/>
      <c r="M288" s="165"/>
    </row>
    <row r="289" spans="3:13">
      <c r="C289" s="165"/>
      <c r="D289" s="165"/>
      <c r="E289" s="165"/>
      <c r="F289" s="165"/>
      <c r="G289" s="165"/>
      <c r="H289" s="165"/>
      <c r="I289" s="165"/>
      <c r="J289" s="165"/>
      <c r="K289" s="165"/>
      <c r="L289" s="165"/>
      <c r="M289" s="165"/>
    </row>
    <row r="290" spans="3:13">
      <c r="C290" s="165"/>
      <c r="D290" s="165"/>
      <c r="E290" s="165"/>
      <c r="F290" s="165"/>
      <c r="G290" s="165"/>
      <c r="H290" s="165"/>
      <c r="I290" s="165"/>
      <c r="J290" s="165"/>
      <c r="K290" s="165"/>
      <c r="L290" s="165"/>
      <c r="M290" s="165"/>
    </row>
    <row r="291" spans="3:13">
      <c r="C291" s="165"/>
      <c r="D291" s="165"/>
      <c r="E291" s="165"/>
      <c r="F291" s="165"/>
      <c r="G291" s="165"/>
      <c r="H291" s="165"/>
      <c r="I291" s="165"/>
      <c r="J291" s="165"/>
      <c r="K291" s="165"/>
      <c r="L291" s="165"/>
      <c r="M291" s="165"/>
    </row>
    <row r="292" spans="3:13">
      <c r="C292" s="165"/>
      <c r="D292" s="165"/>
      <c r="E292" s="165"/>
      <c r="F292" s="165"/>
      <c r="G292" s="165"/>
      <c r="H292" s="165"/>
      <c r="I292" s="165"/>
      <c r="J292" s="165"/>
      <c r="K292" s="165"/>
      <c r="L292" s="165"/>
      <c r="M292" s="165"/>
    </row>
    <row r="293" spans="3:13">
      <c r="C293" s="165"/>
      <c r="D293" s="165"/>
      <c r="E293" s="165"/>
      <c r="F293" s="165"/>
      <c r="G293" s="165"/>
      <c r="H293" s="165"/>
      <c r="I293" s="165"/>
      <c r="J293" s="165"/>
      <c r="K293" s="165"/>
      <c r="L293" s="165"/>
      <c r="M293" s="165"/>
    </row>
    <row r="294" spans="3:13">
      <c r="C294" s="165"/>
      <c r="D294" s="165"/>
      <c r="E294" s="165"/>
      <c r="F294" s="165"/>
      <c r="G294" s="165"/>
      <c r="H294" s="165"/>
      <c r="I294" s="165"/>
      <c r="J294" s="165"/>
      <c r="K294" s="165"/>
      <c r="L294" s="165"/>
      <c r="M294" s="165"/>
    </row>
    <row r="295" spans="3:13">
      <c r="C295" s="165"/>
      <c r="D295" s="165"/>
      <c r="E295" s="165"/>
      <c r="F295" s="165"/>
      <c r="G295" s="165"/>
      <c r="H295" s="165"/>
      <c r="I295" s="165"/>
      <c r="J295" s="165"/>
      <c r="K295" s="165"/>
      <c r="L295" s="165"/>
      <c r="M295" s="165"/>
    </row>
    <row r="296" spans="3:13">
      <c r="C296" s="165"/>
      <c r="D296" s="165"/>
      <c r="E296" s="165"/>
      <c r="F296" s="165"/>
      <c r="G296" s="165"/>
      <c r="H296" s="165"/>
      <c r="I296" s="165"/>
      <c r="J296" s="165"/>
      <c r="K296" s="165"/>
      <c r="L296" s="165"/>
      <c r="M296" s="165"/>
    </row>
    <row r="297" spans="3:13">
      <c r="C297" s="165"/>
      <c r="D297" s="165"/>
      <c r="E297" s="165"/>
      <c r="F297" s="165"/>
      <c r="G297" s="165"/>
      <c r="H297" s="165"/>
      <c r="I297" s="165"/>
      <c r="J297" s="165"/>
      <c r="K297" s="165"/>
      <c r="L297" s="165"/>
      <c r="M297" s="165"/>
    </row>
    <row r="298" spans="3:13">
      <c r="C298" s="165"/>
      <c r="D298" s="165"/>
      <c r="E298" s="165"/>
      <c r="F298" s="165"/>
      <c r="G298" s="165"/>
      <c r="H298" s="165"/>
      <c r="I298" s="165"/>
      <c r="J298" s="165"/>
      <c r="K298" s="165"/>
      <c r="L298" s="165"/>
      <c r="M298" s="165"/>
    </row>
    <row r="299" spans="3:13">
      <c r="C299" s="165"/>
      <c r="D299" s="165"/>
      <c r="E299" s="165"/>
      <c r="F299" s="165"/>
      <c r="G299" s="165"/>
      <c r="H299" s="165"/>
      <c r="I299" s="165"/>
      <c r="J299" s="165"/>
      <c r="K299" s="165"/>
      <c r="L299" s="165"/>
      <c r="M299" s="165"/>
    </row>
    <row r="300" spans="3:13">
      <c r="C300" s="165"/>
      <c r="D300" s="165"/>
      <c r="E300" s="165"/>
      <c r="F300" s="165"/>
      <c r="G300" s="165"/>
      <c r="H300" s="165"/>
      <c r="I300" s="165"/>
      <c r="J300" s="165"/>
      <c r="K300" s="165"/>
      <c r="L300" s="165"/>
      <c r="M300" s="165"/>
    </row>
    <row r="301" spans="3:13">
      <c r="C301" s="165"/>
      <c r="D301" s="165"/>
      <c r="E301" s="165"/>
      <c r="F301" s="165"/>
      <c r="G301" s="165"/>
      <c r="H301" s="165"/>
      <c r="I301" s="165"/>
      <c r="J301" s="165"/>
      <c r="K301" s="165"/>
      <c r="L301" s="165"/>
      <c r="M301" s="165"/>
    </row>
    <row r="302" spans="3:13">
      <c r="C302" s="165"/>
      <c r="D302" s="165"/>
      <c r="E302" s="165"/>
      <c r="F302" s="165"/>
      <c r="G302" s="165"/>
      <c r="H302" s="165"/>
      <c r="I302" s="165"/>
      <c r="J302" s="165"/>
      <c r="K302" s="165"/>
      <c r="L302" s="165"/>
      <c r="M302" s="165"/>
    </row>
    <row r="303" spans="3:13">
      <c r="C303" s="165"/>
      <c r="D303" s="165"/>
      <c r="E303" s="165"/>
      <c r="F303" s="165"/>
      <c r="G303" s="165"/>
      <c r="H303" s="165"/>
      <c r="I303" s="165"/>
      <c r="J303" s="165"/>
      <c r="K303" s="165"/>
      <c r="L303" s="165"/>
      <c r="M303" s="165"/>
    </row>
    <row r="304" spans="3:13">
      <c r="C304" s="165"/>
      <c r="D304" s="165"/>
      <c r="E304" s="165"/>
      <c r="F304" s="165"/>
      <c r="G304" s="165"/>
      <c r="H304" s="165"/>
      <c r="I304" s="165"/>
      <c r="J304" s="165"/>
      <c r="K304" s="165"/>
      <c r="L304" s="165"/>
      <c r="M304" s="165"/>
    </row>
    <row r="305" spans="3:13">
      <c r="C305" s="165"/>
      <c r="D305" s="165"/>
      <c r="E305" s="165"/>
      <c r="F305" s="165"/>
      <c r="G305" s="165"/>
      <c r="H305" s="165"/>
      <c r="I305" s="165"/>
      <c r="J305" s="165"/>
      <c r="K305" s="165"/>
      <c r="L305" s="165"/>
      <c r="M305" s="165"/>
    </row>
    <row r="306" spans="3:13">
      <c r="C306" s="165"/>
      <c r="D306" s="165"/>
      <c r="E306" s="165"/>
      <c r="F306" s="165"/>
      <c r="G306" s="165"/>
      <c r="H306" s="165"/>
      <c r="I306" s="165"/>
      <c r="J306" s="165"/>
      <c r="K306" s="165"/>
      <c r="L306" s="165"/>
      <c r="M306" s="165"/>
    </row>
    <row r="307" spans="3:13">
      <c r="C307" s="165"/>
      <c r="D307" s="165"/>
      <c r="E307" s="165"/>
      <c r="F307" s="165"/>
      <c r="G307" s="165"/>
      <c r="H307" s="165"/>
      <c r="I307" s="165"/>
      <c r="J307" s="165"/>
      <c r="K307" s="165"/>
      <c r="L307" s="165"/>
      <c r="M307" s="165"/>
    </row>
    <row r="308" spans="3:13">
      <c r="C308" s="165"/>
      <c r="D308" s="165"/>
      <c r="E308" s="165"/>
      <c r="F308" s="165"/>
      <c r="G308" s="165"/>
      <c r="H308" s="165"/>
      <c r="I308" s="165"/>
      <c r="J308" s="165"/>
      <c r="K308" s="165"/>
      <c r="L308" s="165"/>
      <c r="M308" s="165"/>
    </row>
    <row r="309" spans="3:13">
      <c r="C309" s="165"/>
      <c r="D309" s="165"/>
      <c r="E309" s="165"/>
      <c r="F309" s="165"/>
      <c r="G309" s="165"/>
      <c r="H309" s="165"/>
      <c r="I309" s="165"/>
      <c r="J309" s="165"/>
      <c r="K309" s="165"/>
      <c r="L309" s="165"/>
      <c r="M309" s="165"/>
    </row>
    <row r="310" spans="3:13">
      <c r="C310" s="165"/>
      <c r="D310" s="165"/>
      <c r="E310" s="165"/>
      <c r="F310" s="165"/>
      <c r="G310" s="165"/>
      <c r="H310" s="165"/>
      <c r="I310" s="165"/>
      <c r="J310" s="165"/>
      <c r="K310" s="165"/>
      <c r="L310" s="165"/>
      <c r="M310" s="165"/>
    </row>
    <row r="311" spans="3:13">
      <c r="C311" s="165"/>
      <c r="D311" s="165"/>
      <c r="E311" s="165"/>
      <c r="F311" s="165"/>
      <c r="G311" s="165"/>
      <c r="H311" s="165"/>
      <c r="I311" s="165"/>
      <c r="J311" s="165"/>
      <c r="K311" s="165"/>
      <c r="L311" s="165"/>
      <c r="M311" s="165"/>
    </row>
    <row r="312" spans="3:13">
      <c r="C312" s="165"/>
      <c r="D312" s="165"/>
      <c r="E312" s="165"/>
      <c r="F312" s="165"/>
      <c r="G312" s="165"/>
      <c r="H312" s="165"/>
      <c r="I312" s="165"/>
      <c r="J312" s="165"/>
      <c r="K312" s="165"/>
      <c r="L312" s="165"/>
      <c r="M312" s="165"/>
    </row>
    <row r="313" spans="3:13">
      <c r="C313" s="165"/>
      <c r="D313" s="165"/>
      <c r="E313" s="165"/>
      <c r="F313" s="165"/>
      <c r="G313" s="165"/>
      <c r="H313" s="165"/>
      <c r="I313" s="165"/>
      <c r="J313" s="165"/>
      <c r="K313" s="165"/>
      <c r="L313" s="165"/>
      <c r="M313" s="165"/>
    </row>
    <row r="314" spans="3:13">
      <c r="C314" s="165"/>
      <c r="D314" s="165"/>
      <c r="E314" s="165"/>
      <c r="F314" s="165"/>
      <c r="G314" s="165"/>
      <c r="H314" s="165"/>
      <c r="I314" s="165"/>
      <c r="J314" s="165"/>
      <c r="K314" s="165"/>
      <c r="L314" s="165"/>
      <c r="M314" s="165"/>
    </row>
    <row r="315" spans="3:13">
      <c r="C315" s="165"/>
      <c r="D315" s="165"/>
      <c r="E315" s="165"/>
      <c r="F315" s="165"/>
      <c r="G315" s="165"/>
      <c r="H315" s="165"/>
      <c r="I315" s="165"/>
      <c r="J315" s="165"/>
      <c r="K315" s="165"/>
      <c r="L315" s="165"/>
      <c r="M315" s="165"/>
    </row>
    <row r="316" spans="3:13">
      <c r="C316" s="165"/>
      <c r="D316" s="165"/>
      <c r="E316" s="165"/>
      <c r="F316" s="165"/>
      <c r="G316" s="165"/>
      <c r="H316" s="165"/>
      <c r="I316" s="165"/>
      <c r="J316" s="165"/>
      <c r="K316" s="165"/>
      <c r="L316" s="165"/>
      <c r="M316" s="165"/>
    </row>
    <row r="317" spans="3:13">
      <c r="C317" s="165"/>
      <c r="D317" s="165"/>
      <c r="E317" s="165"/>
      <c r="F317" s="165"/>
      <c r="G317" s="165"/>
      <c r="H317" s="165"/>
      <c r="I317" s="165"/>
      <c r="J317" s="165"/>
      <c r="K317" s="165"/>
      <c r="L317" s="165"/>
      <c r="M317" s="165"/>
    </row>
    <row r="318" spans="3:13">
      <c r="C318" s="165"/>
      <c r="D318" s="165"/>
      <c r="E318" s="165"/>
      <c r="F318" s="165"/>
      <c r="G318" s="165"/>
      <c r="H318" s="165"/>
      <c r="I318" s="165"/>
      <c r="J318" s="165"/>
      <c r="K318" s="165"/>
      <c r="L318" s="165"/>
      <c r="M318" s="165"/>
    </row>
    <row r="319" spans="3:13">
      <c r="C319" s="165"/>
      <c r="D319" s="165"/>
      <c r="E319" s="165"/>
      <c r="F319" s="165"/>
      <c r="G319" s="165"/>
      <c r="H319" s="165"/>
      <c r="I319" s="165"/>
      <c r="J319" s="165"/>
      <c r="K319" s="165"/>
      <c r="L319" s="165"/>
      <c r="M319" s="165"/>
    </row>
    <row r="320" spans="3:13">
      <c r="C320" s="165"/>
      <c r="D320" s="165"/>
      <c r="E320" s="165"/>
      <c r="F320" s="165"/>
      <c r="G320" s="165"/>
      <c r="H320" s="165"/>
      <c r="I320" s="165"/>
      <c r="J320" s="165"/>
      <c r="K320" s="165"/>
      <c r="L320" s="165"/>
      <c r="M320" s="165"/>
    </row>
    <row r="321" spans="3:13">
      <c r="C321" s="165"/>
      <c r="D321" s="165"/>
      <c r="E321" s="165"/>
      <c r="F321" s="165"/>
      <c r="G321" s="165"/>
      <c r="H321" s="165"/>
      <c r="I321" s="165"/>
      <c r="J321" s="165"/>
      <c r="K321" s="165"/>
      <c r="L321" s="165"/>
      <c r="M321" s="165"/>
    </row>
    <row r="322" spans="3:13">
      <c r="C322" s="165"/>
      <c r="D322" s="165"/>
      <c r="E322" s="165"/>
      <c r="F322" s="165"/>
      <c r="G322" s="165"/>
      <c r="H322" s="165"/>
      <c r="I322" s="165"/>
      <c r="J322" s="165"/>
      <c r="K322" s="165"/>
      <c r="L322" s="165"/>
      <c r="M322" s="165"/>
    </row>
    <row r="323" spans="3:13">
      <c r="C323" s="165"/>
      <c r="D323" s="165"/>
      <c r="E323" s="165"/>
      <c r="F323" s="165"/>
      <c r="G323" s="165"/>
      <c r="H323" s="165"/>
      <c r="I323" s="165"/>
      <c r="J323" s="165"/>
      <c r="K323" s="165"/>
      <c r="L323" s="165"/>
      <c r="M323" s="165"/>
    </row>
    <row r="324" spans="3:13">
      <c r="C324" s="165"/>
      <c r="D324" s="165"/>
      <c r="E324" s="165"/>
      <c r="F324" s="165"/>
      <c r="G324" s="165"/>
      <c r="H324" s="165"/>
      <c r="I324" s="165"/>
      <c r="J324" s="165"/>
      <c r="K324" s="165"/>
      <c r="L324" s="165"/>
      <c r="M324" s="165"/>
    </row>
    <row r="325" spans="3:13">
      <c r="C325" s="165"/>
      <c r="D325" s="165"/>
      <c r="E325" s="165"/>
      <c r="F325" s="165"/>
      <c r="G325" s="165"/>
      <c r="H325" s="165"/>
      <c r="I325" s="165"/>
      <c r="J325" s="165"/>
      <c r="K325" s="165"/>
      <c r="L325" s="165"/>
      <c r="M325" s="165"/>
    </row>
    <row r="326" spans="3:13">
      <c r="C326" s="165"/>
      <c r="D326" s="165"/>
      <c r="E326" s="165"/>
      <c r="F326" s="165"/>
      <c r="G326" s="165"/>
      <c r="H326" s="165"/>
      <c r="I326" s="165"/>
      <c r="J326" s="165"/>
      <c r="K326" s="165"/>
      <c r="L326" s="165"/>
      <c r="M326" s="165"/>
    </row>
    <row r="327" spans="3:13">
      <c r="C327" s="165"/>
      <c r="D327" s="165"/>
      <c r="E327" s="165"/>
      <c r="F327" s="165"/>
      <c r="G327" s="165"/>
      <c r="H327" s="165"/>
      <c r="I327" s="165"/>
      <c r="J327" s="165"/>
      <c r="K327" s="165"/>
      <c r="L327" s="165"/>
      <c r="M327" s="165"/>
    </row>
    <row r="328" spans="3:13">
      <c r="C328" s="165"/>
      <c r="D328" s="165"/>
      <c r="E328" s="165"/>
      <c r="F328" s="165"/>
      <c r="G328" s="165"/>
      <c r="H328" s="165"/>
      <c r="I328" s="165"/>
      <c r="J328" s="165"/>
      <c r="K328" s="165"/>
      <c r="L328" s="165"/>
      <c r="M328" s="165"/>
    </row>
    <row r="329" spans="3:13">
      <c r="C329" s="165"/>
      <c r="D329" s="165"/>
      <c r="E329" s="165"/>
      <c r="F329" s="165"/>
      <c r="G329" s="165"/>
      <c r="H329" s="165"/>
      <c r="I329" s="165"/>
      <c r="J329" s="165"/>
      <c r="K329" s="165"/>
      <c r="L329" s="165"/>
      <c r="M329" s="165"/>
    </row>
    <row r="330" spans="3:13">
      <c r="C330" s="165"/>
      <c r="D330" s="165"/>
      <c r="E330" s="165"/>
      <c r="F330" s="165"/>
      <c r="G330" s="165"/>
      <c r="H330" s="165"/>
      <c r="I330" s="165"/>
      <c r="J330" s="165"/>
      <c r="K330" s="165"/>
      <c r="L330" s="165"/>
      <c r="M330" s="165"/>
    </row>
  </sheetData>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sheetPr codeName="Sheet5">
    <tabColor rgb="FF00B0F0"/>
  </sheetPr>
  <dimension ref="A2:M252"/>
  <sheetViews>
    <sheetView workbookViewId="0">
      <pane xSplit="2" ySplit="3" topLeftCell="C4" activePane="bottomRight" state="frozen"/>
      <selection pane="topRight" activeCell="D1" sqref="D1"/>
      <selection pane="bottomLeft" activeCell="A4" sqref="A4"/>
      <selection pane="bottomRight" activeCell="H53" sqref="H53"/>
    </sheetView>
  </sheetViews>
  <sheetFormatPr defaultRowHeight="12" outlineLevelRow="1"/>
  <cols>
    <col min="1" max="1" width="25" style="109" customWidth="1"/>
    <col min="2" max="2" width="12.85546875" style="109" customWidth="1"/>
    <col min="3" max="12" width="12.28515625" style="109" customWidth="1"/>
    <col min="13" max="16384" width="9.140625" style="109"/>
  </cols>
  <sheetData>
    <row r="2" spans="1:13">
      <c r="A2" s="239" t="s">
        <v>108</v>
      </c>
      <c r="B2" s="240">
        <f>Model_Annual!B2</f>
        <v>40162</v>
      </c>
      <c r="C2" s="240">
        <f>Model_Annual!C2</f>
        <v>40527</v>
      </c>
      <c r="D2" s="240">
        <f>Model_Annual!D2</f>
        <v>40892</v>
      </c>
      <c r="E2" s="240">
        <f>Model_Annual!E2</f>
        <v>41258</v>
      </c>
      <c r="F2" s="240">
        <f>Model_Annual!F2</f>
        <v>41623</v>
      </c>
      <c r="G2" s="240">
        <f>Model_Annual!G2</f>
        <v>41988</v>
      </c>
      <c r="H2" s="240">
        <f>Model_Annual!H2</f>
        <v>42353</v>
      </c>
      <c r="I2" s="240">
        <f>Model_Annual!I2</f>
        <v>42719</v>
      </c>
      <c r="J2" s="240">
        <f>Model_Annual!J2</f>
        <v>43084</v>
      </c>
      <c r="K2" s="240">
        <f>Model_Annual!K2</f>
        <v>43449</v>
      </c>
      <c r="L2" s="240">
        <f>Model_Annual!L2</f>
        <v>43814</v>
      </c>
    </row>
    <row r="3" spans="1:13">
      <c r="A3" s="239" t="s">
        <v>109</v>
      </c>
      <c r="B3" s="182">
        <f>Model_Annual!B3</f>
        <v>0</v>
      </c>
      <c r="C3" s="182">
        <f>Model_Annual!C3</f>
        <v>1</v>
      </c>
      <c r="D3" s="182">
        <f>Model_Annual!D3</f>
        <v>2</v>
      </c>
      <c r="E3" s="182">
        <f>Model_Annual!E3</f>
        <v>3</v>
      </c>
      <c r="F3" s="182">
        <f>Model_Annual!F3</f>
        <v>4</v>
      </c>
      <c r="G3" s="182">
        <f>Model_Annual!G3</f>
        <v>5</v>
      </c>
      <c r="H3" s="182">
        <f>Model_Annual!H3</f>
        <v>6</v>
      </c>
      <c r="I3" s="182">
        <f>Model_Annual!I3</f>
        <v>7</v>
      </c>
      <c r="J3" s="182">
        <f>Model_Annual!J3</f>
        <v>8</v>
      </c>
      <c r="K3" s="182">
        <f>Model_Annual!K3</f>
        <v>9</v>
      </c>
      <c r="L3" s="182">
        <f>Model_Annual!L3</f>
        <v>10</v>
      </c>
    </row>
    <row r="4" spans="1:13">
      <c r="A4" s="126"/>
      <c r="B4" s="126"/>
      <c r="C4" s="264"/>
      <c r="D4" s="264"/>
      <c r="E4" s="264"/>
      <c r="F4" s="264"/>
      <c r="G4" s="264"/>
      <c r="H4" s="264"/>
      <c r="I4" s="264"/>
      <c r="J4" s="264"/>
      <c r="K4" s="264"/>
      <c r="L4" s="263"/>
    </row>
    <row r="5" spans="1:13">
      <c r="A5" s="265" t="s">
        <v>82</v>
      </c>
      <c r="B5" s="266"/>
      <c r="C5" s="149"/>
      <c r="D5" s="149"/>
      <c r="E5" s="149"/>
      <c r="F5" s="149"/>
      <c r="G5" s="149"/>
      <c r="H5" s="149"/>
      <c r="I5" s="149"/>
      <c r="J5" s="149"/>
      <c r="K5" s="149"/>
      <c r="L5" s="149"/>
    </row>
    <row r="6" spans="1:13" hidden="1" outlineLevel="1">
      <c r="A6" s="267" t="str">
        <f>Model_Annual!A60</f>
        <v>CFBT</v>
      </c>
      <c r="B6" s="268">
        <f>Model_Annual!B60</f>
        <v>-11200000</v>
      </c>
      <c r="C6" s="149">
        <f>Model_Annual!C60</f>
        <v>1056748.9384644176</v>
      </c>
      <c r="D6" s="149">
        <f>Model_Annual!D60</f>
        <v>1048191.2634644175</v>
      </c>
      <c r="E6" s="149">
        <f>Model_Annual!E60</f>
        <v>1348472.1374169171</v>
      </c>
      <c r="F6" s="149">
        <f>Model_Annual!F60</f>
        <v>1345079.8222739869</v>
      </c>
      <c r="G6" s="149">
        <f>Model_Annual!G60</f>
        <v>1696707.5618748637</v>
      </c>
      <c r="H6" s="149">
        <f>Model_Annual!H60</f>
        <v>1693048.4811366422</v>
      </c>
      <c r="I6" s="149">
        <f>Model_Annual!I60</f>
        <v>2104774.0877453638</v>
      </c>
      <c r="J6" s="149">
        <f>Model_Annual!J60</f>
        <v>2100825.7669852315</v>
      </c>
      <c r="K6" s="149">
        <f>Model_Annual!K60</f>
        <v>2582889.6294429814</v>
      </c>
      <c r="L6" s="149">
        <f>Model_Annual!L60</f>
        <v>2578627.560717422</v>
      </c>
      <c r="M6" s="165"/>
    </row>
    <row r="7" spans="1:13" hidden="1" outlineLevel="1">
      <c r="A7" s="239"/>
      <c r="B7" s="268"/>
      <c r="C7" s="149"/>
      <c r="D7" s="149"/>
      <c r="E7" s="149"/>
      <c r="F7" s="149"/>
      <c r="G7" s="149"/>
      <c r="H7" s="149"/>
      <c r="I7" s="149"/>
      <c r="J7" s="149"/>
      <c r="K7" s="149"/>
      <c r="L7" s="149"/>
      <c r="M7" s="165"/>
    </row>
    <row r="8" spans="1:13" hidden="1" outlineLevel="1">
      <c r="A8" s="269" t="str">
        <f>Model_Annual!A61&amp;" at Cap Rates:"</f>
        <v>Terminal CFBT at Cap Rates:</v>
      </c>
      <c r="B8" s="270">
        <f>Sensitivity_Analysis_Mthly!E3</f>
        <v>7.2499999999999995E-2</v>
      </c>
      <c r="C8" s="149">
        <f>IF(OR($B$11&lt;=0.0075,$B$11=""),0,SUM(C$6,(Model_Annual!D$23/$B8)*(1-cost_of_sale),-Model_Annual!C$30))</f>
        <v>14135093.416779885</v>
      </c>
      <c r="D8" s="149">
        <f>IF(OR($B$11&lt;=0.0075,$B$11=""),0,SUM(D$6,(Model_Annual!E$23/$B8)*(1-cost_of_sale),-Model_Annual!D$30))</f>
        <v>18237860.903696824</v>
      </c>
      <c r="E8" s="149">
        <f>IF(OR($B$11&lt;=0.0075,$B$11=""),0,SUM(E$6,(Model_Annual!F$23/$B8)*(1-cost_of_sale),-Model_Annual!E$30))</f>
        <v>18636040.959693719</v>
      </c>
      <c r="F8" s="149">
        <f>IF(OR($B$11&lt;=0.0075,$B$11=""),0,SUM(F$6,(Model_Annual!G$23/$B8)*(1-cost_of_sale),-Model_Annual!F$30))</f>
        <v>23439559.098449372</v>
      </c>
      <c r="G8" s="149">
        <f>IF(OR($B$11&lt;=0.0075,$B$11=""),0,SUM(G$6,(Model_Annual!H$23/$B8)*(1-cost_of_sale),-Model_Annual!G$30))</f>
        <v>23902120.229429848</v>
      </c>
      <c r="H8" s="149">
        <f>IF(OR($B$11&lt;=0.0075,$B$11=""),0,SUM(H$6,(Model_Annual!I$23/$B8)*(1-cost_of_sale),-Model_Annual!H$30))</f>
        <v>29518651.293005217</v>
      </c>
      <c r="I8" s="149">
        <f>IF(OR($B$11&lt;=0.0075,$B$11=""),0,SUM(I$6,(Model_Annual!J$23/$B8)*(1-cost_of_sale),-Model_Annual!I$30))</f>
        <v>30055968.587859921</v>
      </c>
      <c r="J8" s="149">
        <f>IF(OR($B$11&lt;=0.0075,$B$11=""),0,SUM(J$6,(Model_Annual!K$23/$B8)*(1-cost_of_sale),-Model_Annual!J$30))</f>
        <v>36623117.052552491</v>
      </c>
      <c r="K8" s="149">
        <f>IF(OR($B$11&lt;=0.0075,$B$11=""),0,SUM(K$6,(Model_Annual!L$23/$B8)*(1-cost_of_sale),-Model_Annual!K$30))</f>
        <v>37247250.971283644</v>
      </c>
      <c r="L8" s="149">
        <f>IF(OR($B$11&lt;=0.0075,$B$11=""),0,SUM(L$6,(Model_Annual!M$23/$B8)*(1-cost_of_sale),-Model_Annual!L$30))</f>
        <v>44925930.862114504</v>
      </c>
      <c r="M8" s="165"/>
    </row>
    <row r="9" spans="1:13" hidden="1" outlineLevel="1">
      <c r="A9" s="271"/>
      <c r="B9" s="270">
        <f>Sensitivity_Analysis_Mthly!F3</f>
        <v>7.4999999999999997E-2</v>
      </c>
      <c r="C9" s="149">
        <f>IF(OR($B$11&lt;=0.0075,$B$11=""),0,SUM(C$6,(Model_Annual!D$23/$B9)*(1-cost_of_sale),-Model_Annual!C$30))</f>
        <v>13386747.717469538</v>
      </c>
      <c r="D9" s="149">
        <f>IF(OR($B$11&lt;=0.0075,$B$11=""),0,SUM(D$6,(Model_Annual!E$23/$B9)*(1-cost_of_sale),-Model_Annual!D$30))</f>
        <v>17356977.43933158</v>
      </c>
      <c r="E9" s="149">
        <f>IF(OR($B$11&lt;=0.0075,$B$11=""),0,SUM(E$6,(Model_Annual!F$23/$B9)*(1-cost_of_sale),-Model_Annual!E$30))</f>
        <v>17756654.793046739</v>
      </c>
      <c r="F9" s="149">
        <f>IF(OR($B$11&lt;=0.0075,$B$11=""),0,SUM(F$6,(Model_Annual!G$23/$B9)*(1-cost_of_sale),-Model_Annual!F$30))</f>
        <v>22404971.722599238</v>
      </c>
      <c r="G9" s="149">
        <f>IF(OR($B$11&lt;=0.0075,$B$11=""),0,SUM(G$6,(Model_Annual!H$23/$B9)*(1-cost_of_sale),-Model_Annual!G$30))</f>
        <v>22869147.896112449</v>
      </c>
      <c r="H9" s="149">
        <f>IF(OR($B$11&lt;=0.0075,$B$11=""),0,SUM(H$6,(Model_Annual!I$23/$B9)*(1-cost_of_sale),-Model_Annual!H$30))</f>
        <v>28303951.795391556</v>
      </c>
      <c r="I9" s="149">
        <f>IF(OR($B$11&lt;=0.0075,$B$11=""),0,SUM(I$6,(Model_Annual!J$23/$B9)*(1-cost_of_sale),-Model_Annual!I$30))</f>
        <v>28843011.797340393</v>
      </c>
      <c r="J9" s="149">
        <f>IF(OR($B$11&lt;=0.0075,$B$11=""),0,SUM(J$6,(Model_Annual!K$23/$B9)*(1-cost_of_sale),-Model_Annual!J$30))</f>
        <v>35197387.24687919</v>
      </c>
      <c r="K9" s="149">
        <f>IF(OR($B$11&lt;=0.0075,$B$11=""),0,SUM(K$6,(Model_Annual!L$23/$B9)*(1-cost_of_sale),-Model_Annual!K$30))</f>
        <v>35823402.354565084</v>
      </c>
      <c r="L9" s="149">
        <f>IF(OR($B$11&lt;=0.0075,$B$11=""),0,SUM(L$6,(Model_Annual!M$23/$B9)*(1-cost_of_sale),-Model_Annual!L$30))</f>
        <v>43252974.280348457</v>
      </c>
      <c r="M9" s="165"/>
    </row>
    <row r="10" spans="1:13" hidden="1" outlineLevel="1">
      <c r="A10" s="271"/>
      <c r="B10" s="270">
        <f>Sensitivity_Analysis_Mthly!G3</f>
        <v>7.7499999999999999E-2</v>
      </c>
      <c r="C10" s="149">
        <f>IF(OR($B$11&lt;=0.0075,$B$11=""),0,SUM(C$6,(Model_Annual!D$23/$B10)*(1-cost_of_sale),-Model_Annual!C$30))</f>
        <v>12686682.385856634</v>
      </c>
      <c r="D10" s="149">
        <f>IF(OR($B$11&lt;=0.0075,$B$11=""),0,SUM(D$6,(Model_Annual!E$23/$B10)*(1-cost_of_sale),-Model_Annual!D$30))</f>
        <v>16532925.16621571</v>
      </c>
      <c r="E10" s="149">
        <f>IF(OR($B$11&lt;=0.0075,$B$11=""),0,SUM(E$6,(Model_Annual!F$23/$B10)*(1-cost_of_sale),-Model_Annual!E$30))</f>
        <v>16934003.217796337</v>
      </c>
      <c r="F10" s="149">
        <f>IF(OR($B$11&lt;=0.0075,$B$11=""),0,SUM(F$6,(Model_Annual!G$23/$B10)*(1-cost_of_sale),-Model_Annual!F$30))</f>
        <v>21437131.919384606</v>
      </c>
      <c r="G10" s="149">
        <f>IF(OR($B$11&lt;=0.0075,$B$11=""),0,SUM(G$6,(Model_Annual!H$23/$B10)*(1-cost_of_sale),-Model_Annual!G$30))</f>
        <v>21902818.939138111</v>
      </c>
      <c r="H10" s="149">
        <f>IF(OR($B$11&lt;=0.0075,$B$11=""),0,SUM(H$6,(Model_Annual!I$23/$B10)*(1-cost_of_sale),-Model_Annual!H$30))</f>
        <v>27167620.007301357</v>
      </c>
      <c r="I10" s="149">
        <f>IF(OR($B$11&lt;=0.0075,$B$11=""),0,SUM(I$6,(Model_Annual!J$23/$B10)*(1-cost_of_sale),-Model_Annual!I$30))</f>
        <v>27708310.283628568</v>
      </c>
      <c r="J10" s="149">
        <f>IF(OR($B$11&lt;=0.0075,$B$11=""),0,SUM(J$6,(Model_Annual!K$23/$B10)*(1-cost_of_sale),-Model_Annual!J$30))</f>
        <v>33863640.009313852</v>
      </c>
      <c r="K10" s="149">
        <f>IF(OR($B$11&lt;=0.0075,$B$11=""),0,SUM(K$6,(Model_Annual!L$23/$B10)*(1-cost_of_sale),-Model_Annual!K$30))</f>
        <v>34491414.938925125</v>
      </c>
      <c r="L10" s="149">
        <f>IF(OR($B$11&lt;=0.0075,$B$11=""),0,SUM(L$6,(Model_Annual!M$23/$B10)*(1-cost_of_sale),-Model_Annual!L$30))</f>
        <v>41687950.381276987</v>
      </c>
      <c r="M10" s="165"/>
    </row>
    <row r="11" spans="1:13" hidden="1" outlineLevel="1">
      <c r="A11" s="271"/>
      <c r="B11" s="272">
        <f>Sensitivity_Analysis_Mthly!H3</f>
        <v>0.08</v>
      </c>
      <c r="C11" s="229">
        <f>IF(OR($B$11&lt;=0.0075,$B$11=""),0,SUM(C$6,(Model_Annual!D$23/$B11)*(1-cost_of_sale),-Model_Annual!C$30))</f>
        <v>12030371.137469536</v>
      </c>
      <c r="D11" s="229">
        <f>IF(OR($B$11&lt;=0.0075,$B$11=""),0,SUM(D$6,(Model_Annual!E$23/$B11)*(1-cost_of_sale),-Model_Annual!D$30))</f>
        <v>15760376.160169579</v>
      </c>
      <c r="E11" s="229">
        <f>IF(OR($B$11&lt;=0.0075,$B$11=""),0,SUM(E$6,(Model_Annual!F$23/$B11)*(1-cost_of_sale),-Model_Annual!E$30))</f>
        <v>16162767.36599908</v>
      </c>
      <c r="F11" s="229">
        <f>IF(OR($B$11&lt;=0.0075,$B$11=""),0,SUM(F$6,(Model_Annual!G$23/$B11)*(1-cost_of_sale),-Model_Annual!F$30))</f>
        <v>20529782.103870884</v>
      </c>
      <c r="G11" s="229">
        <f>IF(OR($B$11&lt;=0.0075,$B$11=""),0,SUM(G$6,(Model_Annual!H$23/$B11)*(1-cost_of_sale),-Model_Annual!G$30))</f>
        <v>20996885.541974667</v>
      </c>
      <c r="H11" s="229">
        <f>IF(OR($B$11&lt;=0.0075,$B$11=""),0,SUM(H$6,(Model_Annual!I$23/$B11)*(1-cost_of_sale),-Model_Annual!H$30))</f>
        <v>26102308.955966789</v>
      </c>
      <c r="I11" s="229">
        <f>IF(OR($B$11&lt;=0.0075,$B$11=""),0,SUM(I$6,(Model_Annual!J$23/$B11)*(1-cost_of_sale),-Model_Annual!I$30))</f>
        <v>26644527.614523739</v>
      </c>
      <c r="J11" s="229">
        <f>IF(OR($B$11&lt;=0.0075,$B$11=""),0,SUM(J$6,(Model_Annual!K$23/$B11)*(1-cost_of_sale),-Model_Annual!J$30))</f>
        <v>32613251.974096343</v>
      </c>
      <c r="K11" s="229">
        <f>IF(OR($B$11&lt;=0.0075,$B$11=""),0,SUM(K$6,(Model_Annual!L$23/$B11)*(1-cost_of_sale),-Model_Annual!K$30))</f>
        <v>33242676.736762676</v>
      </c>
      <c r="L11" s="229">
        <f>IF(OR($B$11&lt;=0.0075,$B$11=""),0,SUM(L$6,(Model_Annual!M$23/$B11)*(1-cost_of_sale),-Model_Annual!L$30))</f>
        <v>40220740.475897491</v>
      </c>
      <c r="M11" s="165"/>
    </row>
    <row r="12" spans="1:13" hidden="1" outlineLevel="1">
      <c r="A12" s="271"/>
      <c r="B12" s="270">
        <f>Sensitivity_Analysis_Mthly!I3</f>
        <v>8.2500000000000004E-2</v>
      </c>
      <c r="C12" s="149">
        <f>IF(OR($B$11&lt;=0.0075,$B$11=""),0,SUM(C$6,(Model_Annual!D$23/$B12)*(1-cost_of_sale),-Model_Annual!C$30))</f>
        <v>11413836.328378627</v>
      </c>
      <c r="D12" s="149">
        <f>IF(OR($B$11&lt;=0.0075,$B$11=""),0,SUM(D$6,(Model_Annual!E$23/$B12)*(1-cost_of_sale),-Model_Annual!D$30))</f>
        <v>15034648.306005035</v>
      </c>
      <c r="E12" s="149">
        <f>IF(OR($B$11&lt;=0.0075,$B$11=""),0,SUM(E$6,(Model_Annual!F$23/$B12)*(1-cost_of_sale),-Model_Annual!E$30))</f>
        <v>15438273.080977421</v>
      </c>
      <c r="F12" s="149">
        <f>IF(OR($B$11&lt;=0.0075,$B$11=""),0,SUM(F$6,(Model_Annual!G$23/$B12)*(1-cost_of_sale),-Model_Annual!F$30))</f>
        <v>19677423.186267085</v>
      </c>
      <c r="G12" s="149">
        <f>IF(OR($B$11&lt;=0.0075,$B$11=""),0,SUM(G$6,(Model_Annual!H$23/$B12)*(1-cost_of_sale),-Model_Annual!G$30))</f>
        <v>20145857.199184768</v>
      </c>
      <c r="H12" s="149">
        <f>IF(OR($B$11&lt;=0.0075,$B$11=""),0,SUM(H$6,(Model_Annual!I$23/$B12)*(1-cost_of_sale),-Model_Annual!H$30))</f>
        <v>25101562.210773718</v>
      </c>
      <c r="I12" s="149">
        <f>IF(OR($B$11&lt;=0.0075,$B$11=""),0,SUM(I$6,(Model_Annual!J$23/$B12)*(1-cost_of_sale),-Model_Annual!I$30))</f>
        <v>25645216.622334346</v>
      </c>
      <c r="J12" s="149">
        <f>IF(OR($B$11&lt;=0.0075,$B$11=""),0,SUM(J$6,(Model_Annual!K$23/$B12)*(1-cost_of_sale),-Model_Annual!J$30))</f>
        <v>31438645.031922311</v>
      </c>
      <c r="K12" s="149">
        <f>IF(OR($B$11&lt;=0.0075,$B$11=""),0,SUM(K$6,(Model_Annual!L$23/$B12)*(1-cost_of_sale),-Model_Annual!K$30))</f>
        <v>32069619.637761582</v>
      </c>
      <c r="L12" s="149">
        <f>IF(OR($B$11&lt;=0.0075,$B$11=""),0,SUM(L$6,(Model_Annual!M$23/$B12)*(1-cost_of_sale),-Model_Annual!L$30))</f>
        <v>38842452.382965237</v>
      </c>
      <c r="M12" s="165"/>
    </row>
    <row r="13" spans="1:13" hidden="1" outlineLevel="1">
      <c r="A13" s="271"/>
      <c r="B13" s="270">
        <f>Sensitivity_Analysis_Mthly!J3</f>
        <v>8.5000000000000006E-2</v>
      </c>
      <c r="C13" s="149">
        <f>IF(OR($B$11&lt;=0.0075,$B$11=""),0,SUM(C$6,(Model_Annual!D$23/$B13)*(1-cost_of_sale),-Model_Annual!C$30))</f>
        <v>10833568.272763653</v>
      </c>
      <c r="D13" s="149">
        <f>IF(OR($B$11&lt;=0.0075,$B$11=""),0,SUM(D$6,(Model_Annual!E$23/$B13)*(1-cost_of_sale),-Model_Annual!D$30))</f>
        <v>14351610.32561487</v>
      </c>
      <c r="E13" s="149">
        <f>IF(OR($B$11&lt;=0.0075,$B$11=""),0,SUM(E$6,(Model_Annual!F$23/$B13)*(1-cost_of_sale),-Model_Annual!E$30))</f>
        <v>14756396.106839385</v>
      </c>
      <c r="F13" s="149">
        <f>IF(OR($B$11&lt;=0.0075,$B$11=""),0,SUM(F$6,(Model_Annual!G$23/$B13)*(1-cost_of_sale),-Model_Annual!F$30))</f>
        <v>18875203.028522328</v>
      </c>
      <c r="G13" s="149">
        <f>IF(OR($B$11&lt;=0.0075,$B$11=""),0,SUM(G$6,(Model_Annual!H$23/$B13)*(1-cost_of_sale),-Model_Annual!G$30))</f>
        <v>19344889.347147211</v>
      </c>
      <c r="H13" s="149">
        <f>IF(OR($B$11&lt;=0.0075,$B$11=""),0,SUM(H$6,(Model_Annual!I$23/$B13)*(1-cost_of_sale),-Model_Annual!H$30))</f>
        <v>24159682.921180245</v>
      </c>
      <c r="I13" s="149">
        <f>IF(OR($B$11&lt;=0.0075,$B$11=""),0,SUM(I$6,(Model_Annual!J$23/$B13)*(1-cost_of_sale),-Model_Annual!I$30))</f>
        <v>24704688.629685521</v>
      </c>
      <c r="J13" s="149">
        <f>IF(OR($B$11&lt;=0.0075,$B$11=""),0,SUM(J$6,(Model_Annual!K$23/$B13)*(1-cost_of_sale),-Model_Annual!J$30))</f>
        <v>30333132.615758531</v>
      </c>
      <c r="K13" s="149">
        <f>IF(OR($B$11&lt;=0.0075,$B$11=""),0,SUM(K$6,(Model_Annual!L$23/$B13)*(1-cost_of_sale),-Model_Annual!K$30))</f>
        <v>30965565.897525255</v>
      </c>
      <c r="L13" s="149">
        <f>IF(OR($B$11&lt;=0.0075,$B$11=""),0,SUM(L$6,(Model_Annual!M$23/$B13)*(1-cost_of_sale),-Model_Annual!L$30))</f>
        <v>37545240.060205467</v>
      </c>
      <c r="M13" s="165"/>
    </row>
    <row r="14" spans="1:13" hidden="1" outlineLevel="1">
      <c r="A14" s="271"/>
      <c r="B14" s="270">
        <f>Sensitivity_Analysis_Mthly!K3</f>
        <v>8.7500000000000008E-2</v>
      </c>
      <c r="C14" s="149">
        <f>IF(OR($B$11&lt;=0.0075,$B$11=""),0,SUM(C$6,(Model_Annual!D$23/$B14)*(1-cost_of_sale),-Model_Annual!C$30))</f>
        <v>10286458.391755247</v>
      </c>
      <c r="D14" s="149">
        <f>IF(OR($B$11&lt;=0.0075,$B$11=""),0,SUM(D$6,(Model_Annual!E$23/$B14)*(1-cost_of_sale),-Model_Annual!D$30))</f>
        <v>13707603.086961292</v>
      </c>
      <c r="E14" s="149">
        <f>IF(OR($B$11&lt;=0.0075,$B$11=""),0,SUM(E$6,(Model_Annual!F$23/$B14)*(1-cost_of_sale),-Model_Annual!E$30))</f>
        <v>14113483.531223521</v>
      </c>
      <c r="F14" s="149">
        <f>IF(OR($B$11&lt;=0.0075,$B$11=""),0,SUM(F$6,(Model_Annual!G$23/$B14)*(1-cost_of_sale),-Model_Annual!F$30))</f>
        <v>18118824.022648707</v>
      </c>
      <c r="G14" s="149">
        <f>IF(OR($B$11&lt;=0.0075,$B$11=""),0,SUM(G$6,(Model_Annual!H$23/$B14)*(1-cost_of_sale),-Model_Annual!G$30))</f>
        <v>18589691.086654663</v>
      </c>
      <c r="H14" s="149">
        <f>IF(OR($B$11&lt;=0.0075,$B$11=""),0,SUM(H$6,(Model_Annual!I$23/$B14)*(1-cost_of_sale),-Model_Annual!H$30))</f>
        <v>23271625.305277821</v>
      </c>
      <c r="I14" s="149">
        <f>IF(OR($B$11&lt;=0.0075,$B$11=""),0,SUM(I$6,(Model_Annual!J$23/$B14)*(1-cost_of_sale),-Model_Annual!I$30))</f>
        <v>23817905.093759477</v>
      </c>
      <c r="J14" s="149">
        <f>IF(OR($B$11&lt;=0.0075,$B$11=""),0,SUM(J$6,(Model_Annual!K$23/$B14)*(1-cost_of_sale),-Model_Annual!J$30))</f>
        <v>29290792.337661244</v>
      </c>
      <c r="K14" s="149">
        <f>IF(OR($B$11&lt;=0.0075,$B$11=""),0,SUM(K$6,(Model_Annual!L$23/$B14)*(1-cost_of_sale),-Model_Annual!K$30))</f>
        <v>29924600.942445297</v>
      </c>
      <c r="L14" s="149">
        <f>IF(OR($B$11&lt;=0.0075,$B$11=""),0,SUM(L$6,(Model_Annual!M$23/$B14)*(1-cost_of_sale),-Model_Annual!L$30))</f>
        <v>36322154.155889109</v>
      </c>
      <c r="M14" s="165"/>
    </row>
    <row r="15" spans="1:13" hidden="1" outlineLevel="1">
      <c r="A15" s="273"/>
      <c r="B15" s="268"/>
      <c r="C15" s="149"/>
      <c r="D15" s="149"/>
      <c r="E15" s="149"/>
      <c r="F15" s="149"/>
      <c r="G15" s="149"/>
      <c r="H15" s="149"/>
      <c r="I15" s="149"/>
      <c r="J15" s="149"/>
      <c r="K15" s="149"/>
      <c r="L15" s="149"/>
      <c r="M15" s="165"/>
    </row>
    <row r="16" spans="1:13" collapsed="1">
      <c r="A16" s="274" t="s">
        <v>127</v>
      </c>
      <c r="B16" s="275">
        <f t="shared" ref="B16:B22" si="0">B8</f>
        <v>7.2499999999999995E-2</v>
      </c>
      <c r="C16" s="288">
        <f>IF(OR(cap_rate&lt;=0.0075,cap_rate="",down_payment&lt;=0),"N/A",IRR(($B$6:B6,C8),))</f>
        <v>0.2620619122124842</v>
      </c>
      <c r="D16" s="288">
        <f>IF(OR(cap_rate&lt;=0.0075,cap_rate="",down_payment&lt;=0),"N/A",IRR(($B$6:C6,D8),))</f>
        <v>0.32412814703636611</v>
      </c>
      <c r="E16" s="288">
        <f>IF(OR(cap_rate&lt;=0.0075,cap_rate="",down_payment&lt;=0),"N/A",IRR(($B$6:D6,E8),))</f>
        <v>0.24428632129884309</v>
      </c>
      <c r="F16" s="288">
        <f>IF(OR(cap_rate&lt;=0.0075,cap_rate="",down_payment&lt;=0),"N/A",IRR(($B$6:E6,F8),))</f>
        <v>0.26843812501336262</v>
      </c>
      <c r="G16" s="288">
        <f>IF(OR(cap_rate&lt;=0.0075,cap_rate="",down_payment&lt;=0),"N/A",IRR(($B$6:F6,G8),))</f>
        <v>0.23389217980202315</v>
      </c>
      <c r="H16" s="288">
        <f>IF(OR(cap_rate&lt;=0.0075,cap_rate="",down_payment&lt;=0),"N/A",IRR(($B$6:G6,H8),))</f>
        <v>0.24669947225781125</v>
      </c>
      <c r="I16" s="288">
        <f>IF(OR(cap_rate&lt;=0.0075,cap_rate="",down_payment&lt;=0),"N/A",IRR(($B$6:H6,I8),))</f>
        <v>0.22632745052720984</v>
      </c>
      <c r="J16" s="288">
        <f>IF(OR(cap_rate&lt;=0.0075,cap_rate="",down_payment&lt;=0),"N/A",IRR(($B$6:I6,J8),))</f>
        <v>0.23416292300604283</v>
      </c>
      <c r="K16" s="288">
        <f>IF(OR(cap_rate&lt;=0.0075,cap_rate="",down_payment&lt;=0),"N/A",IRR(($B$6:J6,K8),))</f>
        <v>0.22054011315832367</v>
      </c>
      <c r="L16" s="288">
        <f>IF(OR(cap_rate&lt;=0.0075,cap_rate="",down_payment&lt;=0),"N/A",IRR(($B$6:K6,L8),))</f>
        <v>0.22575161387183443</v>
      </c>
      <c r="M16" s="165"/>
    </row>
    <row r="17" spans="1:13">
      <c r="A17" s="276"/>
      <c r="B17" s="275">
        <f t="shared" si="0"/>
        <v>7.4999999999999997E-2</v>
      </c>
      <c r="C17" s="288">
        <f>IF(OR(cap_rate&lt;=0.0075,cap_rate="",down_payment&lt;=0),"N/A",IRR(($B$6:B6,C9),))</f>
        <v>0.195245331916923</v>
      </c>
      <c r="D17" s="288">
        <f>IF(OR(cap_rate&lt;=0.0075,cap_rate="",down_payment&lt;=0),"N/A",IRR(($B$6:C6,D9),))</f>
        <v>0.29295144457328565</v>
      </c>
      <c r="E17" s="288">
        <f>IF(OR(cap_rate&lt;=0.0075,cap_rate="",down_payment&lt;=0),"N/A",IRR(($B$6:D6,E9),))</f>
        <v>0.22580950462001892</v>
      </c>
      <c r="F17" s="288">
        <f>IF(OR(cap_rate&lt;=0.0075,cap_rate="",down_payment&lt;=0),"N/A",IRR(($B$6:E6,F9),))</f>
        <v>0.25566767054831013</v>
      </c>
      <c r="G17" s="288">
        <f>IF(OR(cap_rate&lt;=0.0075,cap_rate="",down_payment&lt;=0),"N/A",IRR(($B$6:F6,G9),))</f>
        <v>0.22455191807537772</v>
      </c>
      <c r="H17" s="288">
        <f>IF(OR(cap_rate&lt;=0.0075,cap_rate="",down_payment&lt;=0),"N/A",IRR(($B$6:G6,H9),))</f>
        <v>0.23944764491626741</v>
      </c>
      <c r="I17" s="288">
        <f>IF(OR(cap_rate&lt;=0.0075,cap_rate="",down_payment&lt;=0),"N/A",IRR(($B$6:H6,I9),))</f>
        <v>0.22060777979136761</v>
      </c>
      <c r="J17" s="288">
        <f>IF(OR(cap_rate&lt;=0.0075,cap_rate="",down_payment&lt;=0),"N/A",IRR(($B$6:I6,J9),))</f>
        <v>0.2294469779120504</v>
      </c>
      <c r="K17" s="288">
        <f>IF(OR(cap_rate&lt;=0.0075,cap_rate="",down_payment&lt;=0),"N/A",IRR(($B$6:J6,K9),))</f>
        <v>0.2166795656129962</v>
      </c>
      <c r="L17" s="288">
        <f>IF(OR(cap_rate&lt;=0.0075,cap_rate="",down_payment&lt;=0),"N/A",IRR(($B$6:K6,L9),))</f>
        <v>0.22244589402687426</v>
      </c>
      <c r="M17" s="165"/>
    </row>
    <row r="18" spans="1:13">
      <c r="A18" s="276"/>
      <c r="B18" s="275">
        <f t="shared" si="0"/>
        <v>7.7499999999999999E-2</v>
      </c>
      <c r="C18" s="288">
        <f>IF(OR(cap_rate&lt;=0.0075,cap_rate="",down_payment&lt;=0),"N/A",IRR(($B$6:B6,C10),))</f>
        <v>0.1327394987371994</v>
      </c>
      <c r="D18" s="288">
        <f>IF(OR(cap_rate&lt;=0.0075,cap_rate="",down_payment&lt;=0),"N/A",IRR(($B$6:C6,D10),))</f>
        <v>0.26306264974948523</v>
      </c>
      <c r="E18" s="288">
        <f>IF(OR(cap_rate&lt;=0.0075,cap_rate="",down_payment&lt;=0),"N/A",IRR(($B$6:D6,E10),))</f>
        <v>0.2079787742512022</v>
      </c>
      <c r="F18" s="288">
        <f>IF(OR(cap_rate&lt;=0.0075,cap_rate="",down_payment&lt;=0),"N/A",IRR(($B$6:E6,F10),))</f>
        <v>0.24333535623486827</v>
      </c>
      <c r="G18" s="288">
        <f>IF(OR(cap_rate&lt;=0.0075,cap_rate="",down_payment&lt;=0),"N/A",IRR(($B$6:F6,G10),))</f>
        <v>0.21552804051113889</v>
      </c>
      <c r="H18" s="288">
        <f>IF(OR(cap_rate&lt;=0.0075,cap_rate="",down_payment&lt;=0),"N/A",IRR(($B$6:G6,H10),))</f>
        <v>0.23244905964081403</v>
      </c>
      <c r="I18" s="288">
        <f>IF(OR(cap_rate&lt;=0.0075,cap_rate="",down_payment&lt;=0),"N/A",IRR(($B$6:H6,I10),))</f>
        <v>0.2150921568586994</v>
      </c>
      <c r="J18" s="288">
        <f>IF(OR(cap_rate&lt;=0.0075,cap_rate="",down_payment&lt;=0),"N/A",IRR(($B$6:I6,J10),))</f>
        <v>0.22490454396274986</v>
      </c>
      <c r="K18" s="288">
        <f>IF(OR(cap_rate&lt;=0.0075,cap_rate="",down_payment&lt;=0),"N/A",IRR(($B$6:J6,K10),))</f>
        <v>0.21296547764519275</v>
      </c>
      <c r="L18" s="288">
        <f>IF(OR(cap_rate&lt;=0.0075,cap_rate="",down_payment&lt;=0),"N/A",IRR(($B$6:K6,L10),))</f>
        <v>0.21926868229263863</v>
      </c>
      <c r="M18" s="165"/>
    </row>
    <row r="19" spans="1:13">
      <c r="A19" s="276"/>
      <c r="B19" s="275">
        <f t="shared" si="0"/>
        <v>0.08</v>
      </c>
      <c r="C19" s="303">
        <f>IF(OR(cap_rate&lt;=0.0075,cap_rate="",down_payment&lt;=0),"N/A",IRR(($B$6:B6,C11),))</f>
        <v>7.4140280131207881E-2</v>
      </c>
      <c r="D19" s="303">
        <f>IF(OR(cap_rate&lt;=0.0075,cap_rate="",down_payment&lt;=0),"N/A",IRR(($B$6:C6,D11),))</f>
        <v>0.2343586895875599</v>
      </c>
      <c r="E19" s="303">
        <f>IF(OR(cap_rate&lt;=0.0075,cap_rate="",down_payment&lt;=0),"N/A",IRR(($B$6:D6,E11),))</f>
        <v>0.19074458117263912</v>
      </c>
      <c r="F19" s="303">
        <f>IF(OR(cap_rate&lt;=0.0075,cap_rate="",down_payment&lt;=0),"N/A",IRR(($B$6:E6,F11),))</f>
        <v>0.23140915882408167</v>
      </c>
      <c r="G19" s="303">
        <f>IF(OR(cap_rate&lt;=0.0075,cap_rate="",down_payment&lt;=0),"N/A",IRR(($B$6:F6,G11),))</f>
        <v>0.20679798943312766</v>
      </c>
      <c r="H19" s="303">
        <f>IF(OR(cap_rate&lt;=0.0075,cap_rate="",down_payment&lt;=0),"N/A",IRR(($B$6:G6,H11),))</f>
        <v>0.22568609476081308</v>
      </c>
      <c r="I19" s="303">
        <f>IF(OR(cap_rate&lt;=0.0075,cap_rate="",down_payment&lt;=0),"N/A",IRR(($B$6:H6,I11),))</f>
        <v>0.20976655106056646</v>
      </c>
      <c r="J19" s="303">
        <f>IF(OR(cap_rate&lt;=0.0075,cap_rate="",down_payment&lt;=0),"N/A",IRR(($B$6:I6,J11),))</f>
        <v>0.22052378165369879</v>
      </c>
      <c r="K19" s="303">
        <f>IF(OR(cap_rate&lt;=0.0075,cap_rate="",down_payment&lt;=0),"N/A",IRR(($B$6:J6,K11),))</f>
        <v>0.20938787009588919</v>
      </c>
      <c r="L19" s="303">
        <f>IF(OR(cap_rate&lt;=0.0075,cap_rate="",down_payment&lt;=0),"N/A",IRR(($B$6:K6,L11),))</f>
        <v>0.21621121975359547</v>
      </c>
      <c r="M19" s="165"/>
    </row>
    <row r="20" spans="1:13">
      <c r="A20" s="276"/>
      <c r="B20" s="275">
        <f t="shared" si="0"/>
        <v>8.2500000000000004E-2</v>
      </c>
      <c r="C20" s="288">
        <f>IF(OR(cap_rate&lt;=0.0075,cap_rate="",down_payment&lt;=0),"N/A",IRR(($B$6:B6,C12),))</f>
        <v>1.9092529319520251E-2</v>
      </c>
      <c r="D20" s="288">
        <f>IF(OR(cap_rate&lt;=0.0075,cap_rate="",down_payment&lt;=0),"N/A",IRR(($B$6:C6,D12),))</f>
        <v>0.20674729685972174</v>
      </c>
      <c r="E20" s="288">
        <f>IF(OR(cap_rate&lt;=0.0075,cap_rate="",down_payment&lt;=0),"N/A",IRR(($B$6:D6,E12),))</f>
        <v>0.1740623110500121</v>
      </c>
      <c r="F20" s="288">
        <f>IF(OR(cap_rate&lt;=0.0075,cap_rate="",down_payment&lt;=0),"N/A",IRR(($B$6:E6,F12),))</f>
        <v>0.21986020809217496</v>
      </c>
      <c r="G20" s="288">
        <f>IF(OR(cap_rate&lt;=0.0075,cap_rate="",down_payment&lt;=0),"N/A",IRR(($B$6:F6,G12),))</f>
        <v>0.19834140756405225</v>
      </c>
      <c r="H20" s="288">
        <f>IF(OR(cap_rate&lt;=0.0075,cap_rate="",down_payment&lt;=0),"N/A",IRR(($B$6:G6,H12),))</f>
        <v>0.21914284172339146</v>
      </c>
      <c r="I20" s="288">
        <f>IF(OR(cap_rate&lt;=0.0075,cap_rate="",down_payment&lt;=0),"N/A",IRR(($B$6:H6,I12),))</f>
        <v>0.20461829093358125</v>
      </c>
      <c r="J20" s="288">
        <f>IF(OR(cap_rate&lt;=0.0075,cap_rate="",down_payment&lt;=0),"N/A",IRR(($B$6:I6,J12),))</f>
        <v>0.21629399540373412</v>
      </c>
      <c r="K20" s="288">
        <f>IF(OR(cap_rate&lt;=0.0075,cap_rate="",down_payment&lt;=0),"N/A",IRR(($B$6:J6,K12),))</f>
        <v>0.20593772680772973</v>
      </c>
      <c r="L20" s="288">
        <f>IF(OR(cap_rate&lt;=0.0075,cap_rate="",down_payment&lt;=0),"N/A",IRR(($B$6:K6,L12),))</f>
        <v>0.21326559179216886</v>
      </c>
      <c r="M20" s="165"/>
    </row>
    <row r="21" spans="1:13">
      <c r="A21" s="276"/>
      <c r="B21" s="275">
        <f t="shared" si="0"/>
        <v>8.5000000000000006E-2</v>
      </c>
      <c r="C21" s="288">
        <f>IF(OR(cap_rate&lt;=0.0075,cap_rate="",down_payment&lt;=0),"N/A",IRR(($B$6:B6,C13),))</f>
        <v>-3.2717118503245268E-2</v>
      </c>
      <c r="D21" s="288">
        <f>IF(OR(cap_rate&lt;=0.0075,cap_rate="",down_payment&lt;=0),"N/A",IRR(($B$6:C6,D13),))</f>
        <v>0.18014556843847643</v>
      </c>
      <c r="E21" s="288">
        <f>IF(OR(cap_rate&lt;=0.0075,cap_rate="",down_payment&lt;=0),"N/A",IRR(($B$6:D6,E13),))</f>
        <v>0.15789164624497634</v>
      </c>
      <c r="F21" s="288">
        <f>IF(OR(cap_rate&lt;=0.0075,cap_rate="",down_payment&lt;=0),"N/A",IRR(($B$6:E6,F13),))</f>
        <v>0.20866238769579487</v>
      </c>
      <c r="G21" s="288">
        <f>IF(OR(cap_rate&lt;=0.0075,cap_rate="",down_payment&lt;=0),"N/A",IRR(($B$6:F6,G13),))</f>
        <v>0.19013986246576065</v>
      </c>
      <c r="H21" s="288">
        <f>IF(OR(cap_rate&lt;=0.0075,cap_rate="",down_payment&lt;=0),"N/A",IRR(($B$6:G6,H13),))</f>
        <v>0.21280489209278886</v>
      </c>
      <c r="I21" s="288">
        <f>IF(OR(cap_rate&lt;=0.0075,cap_rate="",down_payment&lt;=0),"N/A",IRR(($B$6:H6,I13),))</f>
        <v>0.19963589591802561</v>
      </c>
      <c r="J21" s="288">
        <f>IF(OR(cap_rate&lt;=0.0075,cap_rate="",down_payment&lt;=0),"N/A",IRR(($B$6:I6,J13),))</f>
        <v>0.21220549231099065</v>
      </c>
      <c r="K21" s="288">
        <f>IF(OR(cap_rate&lt;=0.0075,cap_rate="",down_payment&lt;=0),"N/A",IRR(($B$6:J6,K13),))</f>
        <v>0.20260687589173201</v>
      </c>
      <c r="L21" s="288">
        <f>IF(OR(cap_rate&lt;=0.0075,cap_rate="",down_payment&lt;=0),"N/A",IRR(($B$6:K6,L13),))</f>
        <v>0.21042462412304824</v>
      </c>
      <c r="M21" s="165"/>
    </row>
    <row r="22" spans="1:13">
      <c r="A22" s="277"/>
      <c r="B22" s="275">
        <f t="shared" si="0"/>
        <v>8.7500000000000008E-2</v>
      </c>
      <c r="C22" s="288">
        <f>IF(OR(cap_rate&lt;=0.0075,cap_rate="",down_payment&lt;=0),"N/A",IRR(($B$6:B6,C14),))</f>
        <v>-8.156621502185292E-2</v>
      </c>
      <c r="D22" s="288">
        <f>IF(OR(cap_rate&lt;=0.0075,cap_rate="",down_payment&lt;=0),"N/A",IRR(($B$6:C6,D14),))</f>
        <v>0.15447875070336642</v>
      </c>
      <c r="E22" s="288">
        <f>IF(OR(cap_rate&lt;=0.0075,cap_rate="",down_payment&lt;=0),"N/A",IRR(($B$6:D6,E14),))</f>
        <v>0.14219602548831933</v>
      </c>
      <c r="F22" s="288">
        <f>IF(OR(cap_rate&lt;=0.0075,cap_rate="",down_payment&lt;=0),"N/A",IRR(($B$6:E6,F14),))</f>
        <v>0.19779199646689768</v>
      </c>
      <c r="G22" s="288">
        <f>IF(OR(cap_rate&lt;=0.0075,cap_rate="",down_payment&lt;=0),"N/A",IRR(($B$6:F6,G14),))</f>
        <v>0.18217661239853444</v>
      </c>
      <c r="H22" s="288">
        <f>IF(OR(cap_rate&lt;=0.0075,cap_rate="",down_payment&lt;=0),"N/A",IRR(($B$6:G6,H14),))</f>
        <v>0.20665915641860935</v>
      </c>
      <c r="I22" s="288">
        <f>IF(OR(cap_rate&lt;=0.0075,cap_rate="",down_payment&lt;=0),"N/A",IRR(($B$6:H6,I14),))</f>
        <v>0.19480893315677578</v>
      </c>
      <c r="J22" s="288">
        <f>IF(OR(cap_rate&lt;=0.0075,cap_rate="",down_payment&lt;=0),"N/A",IRR(($B$6:I6,J14),))</f>
        <v>0.20824946192476262</v>
      </c>
      <c r="K22" s="288">
        <f>IF(OR(cap_rate&lt;=0.0075,cap_rate="",down_payment&lt;=0),"N/A",IRR(($B$6:J6,K14),))</f>
        <v>0.19938788863654527</v>
      </c>
      <c r="L22" s="288">
        <f>IF(OR(cap_rate&lt;=0.0075,cap_rate="",down_payment&lt;=0),"N/A",IRR(($B$6:K6,L14),))</f>
        <v>0.20768179425738198</v>
      </c>
      <c r="M22" s="165"/>
    </row>
    <row r="23" spans="1:13">
      <c r="A23" s="126"/>
      <c r="B23" s="264"/>
      <c r="C23" s="264"/>
      <c r="D23" s="264"/>
      <c r="E23" s="264"/>
      <c r="F23" s="264"/>
      <c r="G23" s="264"/>
      <c r="H23" s="264"/>
      <c r="I23" s="264"/>
      <c r="J23" s="264"/>
      <c r="K23" s="264"/>
      <c r="L23" s="248"/>
      <c r="M23" s="165"/>
    </row>
    <row r="24" spans="1:13">
      <c r="A24" s="126"/>
      <c r="B24" s="264"/>
      <c r="C24" s="264"/>
      <c r="D24" s="264"/>
      <c r="E24" s="264"/>
      <c r="F24" s="264"/>
      <c r="G24" s="264"/>
      <c r="H24" s="264"/>
      <c r="I24" s="264"/>
      <c r="J24" s="264"/>
      <c r="K24" s="264"/>
      <c r="L24" s="255"/>
      <c r="M24" s="165"/>
    </row>
    <row r="25" spans="1:13">
      <c r="A25" s="265" t="s">
        <v>107</v>
      </c>
      <c r="B25" s="278"/>
      <c r="C25" s="149"/>
      <c r="D25" s="149"/>
      <c r="E25" s="149"/>
      <c r="F25" s="149"/>
      <c r="G25" s="149"/>
      <c r="H25" s="149"/>
      <c r="I25" s="149"/>
      <c r="J25" s="149"/>
      <c r="K25" s="149"/>
      <c r="L25" s="149"/>
      <c r="M25" s="165"/>
    </row>
    <row r="26" spans="1:13" hidden="1" outlineLevel="1">
      <c r="A26" s="279" t="str">
        <f>Sensitivity_Analysis_Mthly!AC2&amp;" @ Int Rate "&amp;TEXT(Sensitivity_Analysis_Mthly!AC3,"0.00%")</f>
        <v>CFBT @ Int Rate 4.75%</v>
      </c>
      <c r="B26" s="280">
        <f>Sensitivity_Analysis_Mthly!AC4</f>
        <v>-11200000</v>
      </c>
      <c r="C26" s="149">
        <f>SUM(Sensitivity_Analysis_Mthly!AC5:AC16)</f>
        <v>1109350.4363864465</v>
      </c>
      <c r="D26" s="149">
        <f>SUM(Sensitivity_Analysis_Mthly!AC17:AC28)</f>
        <v>1100792.7613864467</v>
      </c>
      <c r="E26" s="149">
        <f>SUM(Sensitivity_Analysis_Mthly!AC29:AC40)</f>
        <v>1401073.6353389467</v>
      </c>
      <c r="F26" s="149">
        <f>SUM(Sensitivity_Analysis_Mthly!AC41:AC52)</f>
        <v>1397681.3201960162</v>
      </c>
      <c r="G26" s="149">
        <f>SUM(Sensitivity_Analysis_Mthly!AC53:AC64)</f>
        <v>1749309.0597968926</v>
      </c>
      <c r="H26" s="149">
        <f>SUM(Sensitivity_Analysis_Mthly!AC65:AC76)</f>
        <v>1745649.9790586717</v>
      </c>
      <c r="I26" s="149">
        <f>SUM(Sensitivity_Analysis_Mthly!AC77:AC88)</f>
        <v>2157375.5856673932</v>
      </c>
      <c r="J26" s="149">
        <f>SUM(Sensitivity_Analysis_Mthly!AC89:AC100)</f>
        <v>2153427.2649072609</v>
      </c>
      <c r="K26" s="149">
        <f>SUM(Sensitivity_Analysis_Mthly!AC101:AC112)</f>
        <v>2635491.1273650108</v>
      </c>
      <c r="L26" s="149">
        <f>SUM(Sensitivity_Analysis_Mthly!AC113:AC124)</f>
        <v>2631229.0586394509</v>
      </c>
      <c r="M26" s="165"/>
    </row>
    <row r="27" spans="1:13" hidden="1" outlineLevel="1">
      <c r="A27" s="281" t="str">
        <f>Sensitivity_Analysis_Mthly!AE2</f>
        <v>Terminal CFBT</v>
      </c>
      <c r="B27" s="280"/>
      <c r="C27" s="149">
        <f ca="1">C26+Model_Annual!C36-Sensitivity_Analysis_Mthly!$AD$16</f>
        <v>12101591.215829302</v>
      </c>
      <c r="D27" s="149">
        <f ca="1">D26+Model_Annual!D36-Sensitivity_Analysis_Mthly!$AD$28</f>
        <v>15850112.842595855</v>
      </c>
      <c r="E27" s="149">
        <f ca="1">E26+Model_Annual!E36-Sensitivity_Analysis_Mthly!$AD$40</f>
        <v>16270856.986465346</v>
      </c>
      <c r="F27" s="149">
        <f ca="1">F26+Model_Annual!F36-Sensitivity_Analysis_Mthly!$AD$52</f>
        <v>20655993.111272238</v>
      </c>
      <c r="G27" s="149">
        <f ca="1">G26+Model_Annual!G36-Sensitivity_Analysis_Mthly!$AD$64</f>
        <v>21140911.823395591</v>
      </c>
      <c r="H27" s="149">
        <f ca="1">H26+Model_Annual!H36-Sensitivity_Analysis_Mthly!$AD$76</f>
        <v>26263762.64508957</v>
      </c>
      <c r="I27" s="149">
        <f ca="1">I26+Model_Annual!I36-Sensitivity_Analysis_Mthly!$AD$88</f>
        <v>26822931.34942415</v>
      </c>
      <c r="J27" s="149">
        <f ca="1">J26+Model_Annual!J36-Sensitivity_Analysis_Mthly!$AD$100</f>
        <v>32808030.566330977</v>
      </c>
      <c r="K27" s="149">
        <f ca="1">K26+Model_Annual!K36-Sensitivity_Analysis_Mthly!$AD$112</f>
        <v>33453148.211161058</v>
      </c>
      <c r="L27" s="149">
        <f ca="1">L26+Model_Annual!L36-Sensitivity_Analysis_Mthly!$AD$124</f>
        <v>40446106.437825248</v>
      </c>
      <c r="M27" s="165"/>
    </row>
    <row r="28" spans="1:13" hidden="1" outlineLevel="1">
      <c r="A28" s="282" t="str">
        <f>Sensitivity_Analysis_Mthly!AF2&amp;" @ Int Rate "&amp;TEXT(Sensitivity_Analysis_Mthly!AF3,"0.00%")</f>
        <v>CFBT @ Int Rate 5.00%</v>
      </c>
      <c r="B28" s="280">
        <f>Sensitivity_Analysis_Mthly!AF4</f>
        <v>-11200000</v>
      </c>
      <c r="C28" s="149">
        <f>SUM(Sensitivity_Analysis_Mthly!AF5:AF16)</f>
        <v>1092051.7497661626</v>
      </c>
      <c r="D28" s="149">
        <f>SUM(Sensitivity_Analysis_Mthly!AF17:AF28)</f>
        <v>1083494.0747661626</v>
      </c>
      <c r="E28" s="149">
        <f>SUM(Sensitivity_Analysis_Mthly!AF29:AF40)</f>
        <v>1383774.9487186628</v>
      </c>
      <c r="F28" s="149">
        <f>SUM(Sensitivity_Analysis_Mthly!AF41:AF52)</f>
        <v>1380382.6335757317</v>
      </c>
      <c r="G28" s="149">
        <f>SUM(Sensitivity_Analysis_Mthly!AF53:AF64)</f>
        <v>1732010.3731766087</v>
      </c>
      <c r="H28" s="149">
        <f>SUM(Sensitivity_Analysis_Mthly!AF65:AF76)</f>
        <v>1728351.2924383879</v>
      </c>
      <c r="I28" s="149">
        <f>SUM(Sensitivity_Analysis_Mthly!AF77:AF88)</f>
        <v>2140076.8990471093</v>
      </c>
      <c r="J28" s="149">
        <f>SUM(Sensitivity_Analysis_Mthly!AF89:AF100)</f>
        <v>2136128.578286977</v>
      </c>
      <c r="K28" s="149">
        <f>SUM(Sensitivity_Analysis_Mthly!AF101:AF112)</f>
        <v>2618192.4407447269</v>
      </c>
      <c r="L28" s="149">
        <f>SUM(Sensitivity_Analysis_Mthly!AF113:AF124)</f>
        <v>2613930.3720191671</v>
      </c>
      <c r="M28" s="165"/>
    </row>
    <row r="29" spans="1:13" hidden="1" outlineLevel="1">
      <c r="A29" s="283" t="str">
        <f>A27</f>
        <v>Terminal CFBT</v>
      </c>
      <c r="B29" s="280"/>
      <c r="C29" s="149">
        <f ca="1">C28+Model_Annual!C36-Sensitivity_Analysis_Mthly!$AG$16</f>
        <v>12077860.157595072</v>
      </c>
      <c r="D29" s="149">
        <f ca="1">D28+Model_Annual!D36-Sensitivity_Analysis_Mthly!$AG$28</f>
        <v>15820003.514513053</v>
      </c>
      <c r="E29" s="149">
        <f ca="1">E28+Model_Annual!E36-Sensitivity_Analysis_Mthly!$AG$40</f>
        <v>16234444.861510329</v>
      </c>
      <c r="F29" s="149">
        <f ca="1">F28+Model_Annual!F36-Sensitivity_Analysis_Mthly!$AG$52</f>
        <v>20613377.030173015</v>
      </c>
      <c r="G29" s="149">
        <f ca="1">G28+Model_Annual!G36-Sensitivity_Analysis_Mthly!$AG$64</f>
        <v>21092216.137165263</v>
      </c>
      <c r="H29" s="149">
        <f ca="1">H28+Model_Annual!H36-Sensitivity_Analysis_Mthly!$AG$76</f>
        <v>26209139.513150461</v>
      </c>
      <c r="I29" s="149">
        <f ca="1">I28+Model_Annual!I36-Sensitivity_Analysis_Mthly!$AG$88</f>
        <v>26762563.203514889</v>
      </c>
      <c r="J29" s="149">
        <f ca="1">J28+Model_Annual!J36-Sensitivity_Analysis_Mthly!$AG$100</f>
        <v>32742132.751018617</v>
      </c>
      <c r="K29" s="149">
        <f ca="1">K28+Model_Annual!K36-Sensitivity_Analysis_Mthly!$AG$112</f>
        <v>33381971.812447723</v>
      </c>
      <c r="L29" s="149">
        <f ca="1">L28+Model_Annual!L36-Sensitivity_Analysis_Mthly!$AG$124</f>
        <v>40369941.312045433</v>
      </c>
      <c r="M29" s="165"/>
    </row>
    <row r="30" spans="1:13" hidden="1" outlineLevel="1">
      <c r="A30" s="279" t="str">
        <f>Sensitivity_Analysis_Mthly!AI2&amp;" @ Int Rate "&amp;TEXT(Sensitivity_Analysis_Mthly!AI3,"0.00%")</f>
        <v>CFBT @ Int Rate 5.25%</v>
      </c>
      <c r="B30" s="280">
        <f>Sensitivity_Analysis_Mthly!AI4</f>
        <v>-11200000</v>
      </c>
      <c r="C30" s="149">
        <f>SUM(Sensitivity_Analysis_Mthly!AI5:AI16)</f>
        <v>1074516.1795582417</v>
      </c>
      <c r="D30" s="149">
        <f>SUM(Sensitivity_Analysis_Mthly!AI17:AI28)</f>
        <v>1065958.5045582419</v>
      </c>
      <c r="E30" s="149">
        <f>SUM(Sensitivity_Analysis_Mthly!AI29:AI40)</f>
        <v>1366239.3785107424</v>
      </c>
      <c r="F30" s="149">
        <f>SUM(Sensitivity_Analysis_Mthly!AI41:AI52)</f>
        <v>1362847.063367811</v>
      </c>
      <c r="G30" s="149">
        <f>SUM(Sensitivity_Analysis_Mthly!AI53:AI64)</f>
        <v>1714474.8029686881</v>
      </c>
      <c r="H30" s="149">
        <f>SUM(Sensitivity_Analysis_Mthly!AI65:AI76)</f>
        <v>1710815.7222304665</v>
      </c>
      <c r="I30" s="149">
        <f>SUM(Sensitivity_Analysis_Mthly!AI77:AI88)</f>
        <v>2122541.3288391889</v>
      </c>
      <c r="J30" s="149">
        <f>SUM(Sensitivity_Analysis_Mthly!AI89:AI100)</f>
        <v>2118593.0080790566</v>
      </c>
      <c r="K30" s="149">
        <f>SUM(Sensitivity_Analysis_Mthly!AI101:AI112)</f>
        <v>2600656.8705368061</v>
      </c>
      <c r="L30" s="149">
        <f>SUM(Sensitivity_Analysis_Mthly!AI113:AI124)</f>
        <v>2596394.8018112467</v>
      </c>
      <c r="M30" s="165"/>
    </row>
    <row r="31" spans="1:13" hidden="1" outlineLevel="1">
      <c r="A31" s="281" t="str">
        <f>A29</f>
        <v>Terminal CFBT</v>
      </c>
      <c r="B31" s="280"/>
      <c r="C31" s="149">
        <f ca="1">C30+Model_Annual!C36-Sensitivity_Analysis_Mthly!$AJ$16</f>
        <v>12054119.906758813</v>
      </c>
      <c r="D31" s="149">
        <f ca="1">D30+Model_Annual!D36-Sensitivity_Analysis_Mthly!$AJ$28</f>
        <v>15790092.100488855</v>
      </c>
      <c r="E31" s="149">
        <f ca="1">E30+Model_Annual!E36-Sensitivity_Analysis_Mthly!$AJ$40</f>
        <v>16198416.391881838</v>
      </c>
      <c r="F31" s="149">
        <f ca="1">F30+Model_Annual!F36-Sensitivity_Analysis_Mthly!$AJ$52</f>
        <v>20571308.271248639</v>
      </c>
      <c r="G31" s="149">
        <f ca="1">G30+Model_Annual!G36-Sensitivity_Analysis_Mthly!$AJ$64</f>
        <v>21044208.742988989</v>
      </c>
      <c r="H31" s="149">
        <f ca="1">H30+Model_Annual!H36-Sensitivity_Analysis_Mthly!$AJ$76</f>
        <v>26155322.426086102</v>
      </c>
      <c r="I31" s="149">
        <f ca="1">I30+Model_Annual!I36-Sensitivity_Analysis_Mthly!$AJ$88</f>
        <v>26703095.238276076</v>
      </c>
      <c r="J31" s="149">
        <f ca="1">J30+Model_Annual!J36-Sensitivity_Analysis_Mthly!$AJ$100</f>
        <v>32677205.374790587</v>
      </c>
      <c r="K31" s="149">
        <f ca="1">K30+Model_Annual!K36-Sensitivity_Analysis_Mthly!$AJ$112</f>
        <v>33311812.134569291</v>
      </c>
      <c r="L31" s="149">
        <f ca="1">L30+Model_Annual!L36-Sensitivity_Analysis_Mthly!$AJ$124</f>
        <v>40294815.297593616</v>
      </c>
      <c r="M31" s="165"/>
    </row>
    <row r="32" spans="1:13" hidden="1" outlineLevel="1">
      <c r="A32" s="282" t="str">
        <f>Sensitivity_Analysis_Mthly!AL2&amp;" @ Int Rate "&amp;TEXT(Sensitivity_Analysis_Mthly!AL3,"0.00%")</f>
        <v>CFBT @ Int Rate 5.50%</v>
      </c>
      <c r="B32" s="284">
        <f>Sensitivity_Analysis_Mthly!AL4</f>
        <v>-11200000</v>
      </c>
      <c r="C32" s="229">
        <f>SUM(Sensitivity_Analysis_Mthly!AL5:AL16)</f>
        <v>1056748.9384644176</v>
      </c>
      <c r="D32" s="229">
        <f>SUM(Sensitivity_Analysis_Mthly!AL17:AL28)</f>
        <v>1048191.2634644175</v>
      </c>
      <c r="E32" s="229">
        <f>SUM(Sensitivity_Analysis_Mthly!AL29:AL40)</f>
        <v>1348472.1374169171</v>
      </c>
      <c r="F32" s="229">
        <f>SUM(Sensitivity_Analysis_Mthly!AL41:AL52)</f>
        <v>1345079.8222739869</v>
      </c>
      <c r="G32" s="229">
        <f>SUM(Sensitivity_Analysis_Mthly!AL53:AL64)</f>
        <v>1696707.5618748637</v>
      </c>
      <c r="H32" s="229">
        <f>SUM(Sensitivity_Analysis_Mthly!AL65:AL76)</f>
        <v>1693048.4811366422</v>
      </c>
      <c r="I32" s="229">
        <f>SUM(Sensitivity_Analysis_Mthly!AL77:AL88)</f>
        <v>2104774.0877453638</v>
      </c>
      <c r="J32" s="229">
        <f>SUM(Sensitivity_Analysis_Mthly!AL89:AL100)</f>
        <v>2100825.7669852315</v>
      </c>
      <c r="K32" s="229">
        <f>SUM(Sensitivity_Analysis_Mthly!AL101:AL112)</f>
        <v>2582889.6294429814</v>
      </c>
      <c r="L32" s="229">
        <f>SUM(Sensitivity_Analysis_Mthly!AL113:AL124)</f>
        <v>2578627.560717422</v>
      </c>
      <c r="M32" s="165"/>
    </row>
    <row r="33" spans="1:13" hidden="1" outlineLevel="1">
      <c r="A33" s="283" t="str">
        <f>A31</f>
        <v>Terminal CFBT</v>
      </c>
      <c r="B33" s="284"/>
      <c r="C33" s="229">
        <f ca="1">C32+Model_Annual!C36-Sensitivity_Analysis_Mthly!$AM$16</f>
        <v>12030371.137469536</v>
      </c>
      <c r="D33" s="229">
        <f ca="1">D32+Model_Annual!D36-Sensitivity_Analysis_Mthly!$AM$28</f>
        <v>15760376.160169575</v>
      </c>
      <c r="E33" s="229">
        <f ca="1">E32+Model_Annual!E36-Sensitivity_Analysis_Mthly!$AM$40</f>
        <v>16162767.365999084</v>
      </c>
      <c r="F33" s="229">
        <f ca="1">F32+Model_Annual!F36-Sensitivity_Analysis_Mthly!$AM$52</f>
        <v>20529782.103870884</v>
      </c>
      <c r="G33" s="229">
        <f ca="1">G32+Model_Annual!G36-Sensitivity_Analysis_Mthly!$AM$64</f>
        <v>20996885.54197466</v>
      </c>
      <c r="H33" s="229">
        <f ca="1">H32+Model_Annual!H36-Sensitivity_Analysis_Mthly!$AM$76</f>
        <v>26102308.955966797</v>
      </c>
      <c r="I33" s="229">
        <f ca="1">I32+Model_Annual!I36-Sensitivity_Analysis_Mthly!$AM$88</f>
        <v>26644527.614523731</v>
      </c>
      <c r="J33" s="229">
        <f ca="1">J32+Model_Annual!J36-Sensitivity_Analysis_Mthly!$AM$100</f>
        <v>32613251.974096321</v>
      </c>
      <c r="K33" s="229">
        <f ca="1">K32+Model_Annual!K36-Sensitivity_Analysis_Mthly!$AM$112</f>
        <v>33242676.736762661</v>
      </c>
      <c r="L33" s="229">
        <f ca="1">L32+Model_Annual!L36-Sensitivity_Analysis_Mthly!$AM$124</f>
        <v>40220740.475897484</v>
      </c>
      <c r="M33" s="165"/>
    </row>
    <row r="34" spans="1:13" hidden="1" outlineLevel="1">
      <c r="A34" s="279" t="str">
        <f>Sensitivity_Analysis_Mthly!AO2&amp;" @ Int Rate "&amp;TEXT(Sensitivity_Analysis_Mthly!AO3,"0.00%")</f>
        <v>CFBT @ Int Rate 5.75%</v>
      </c>
      <c r="B34" s="280">
        <f>Sensitivity_Analysis_Mthly!AO4</f>
        <v>-11200000</v>
      </c>
      <c r="C34" s="149">
        <f>SUM(Sensitivity_Analysis_Mthly!AO5:AO16)</f>
        <v>1038755.343654351</v>
      </c>
      <c r="D34" s="149">
        <f>SUM(Sensitivity_Analysis_Mthly!AO17:AO28)</f>
        <v>1030197.668654351</v>
      </c>
      <c r="E34" s="149">
        <f>SUM(Sensitivity_Analysis_Mthly!AO29:AO40)</f>
        <v>1330478.5426068509</v>
      </c>
      <c r="F34" s="149">
        <f>SUM(Sensitivity_Analysis_Mthly!AO41:AO52)</f>
        <v>1327086.2274639201</v>
      </c>
      <c r="G34" s="149">
        <f>SUM(Sensitivity_Analysis_Mthly!AO53:AO64)</f>
        <v>1678713.9670647972</v>
      </c>
      <c r="H34" s="149">
        <f>SUM(Sensitivity_Analysis_Mthly!AO65:AO76)</f>
        <v>1675054.8863265757</v>
      </c>
      <c r="I34" s="149">
        <f>SUM(Sensitivity_Analysis_Mthly!AO77:AO88)</f>
        <v>2086780.492935298</v>
      </c>
      <c r="J34" s="149">
        <f>SUM(Sensitivity_Analysis_Mthly!AO89:AO100)</f>
        <v>2082832.1721751648</v>
      </c>
      <c r="K34" s="149">
        <f>SUM(Sensitivity_Analysis_Mthly!AO101:AO112)</f>
        <v>2564896.0346329147</v>
      </c>
      <c r="L34" s="149">
        <f>SUM(Sensitivity_Analysis_Mthly!AO113:AO124)</f>
        <v>2560633.9659073558</v>
      </c>
      <c r="M34" s="165"/>
    </row>
    <row r="35" spans="1:13" hidden="1" outlineLevel="1">
      <c r="A35" s="281" t="str">
        <f>A33</f>
        <v>Terminal CFBT</v>
      </c>
      <c r="B35" s="280"/>
      <c r="C35" s="149">
        <f ca="1">C34+Model_Annual!C36-Sensitivity_Analysis_Mthly!$AP$16</f>
        <v>12006614.49870247</v>
      </c>
      <c r="D35" s="149">
        <f ca="1">D34+Model_Annual!D36-Sensitivity_Analysis_Mthly!$AP$28</f>
        <v>15730853.050827477</v>
      </c>
      <c r="E35" s="149">
        <f ca="1">E34+Model_Annual!E36-Sensitivity_Analysis_Mthly!$AP$40</f>
        <v>16127493.156594913</v>
      </c>
      <c r="F35" s="149">
        <f ca="1">F34+Model_Annual!F36-Sensitivity_Analysis_Mthly!$AP$52</f>
        <v>20488793.143545695</v>
      </c>
      <c r="G35" s="149">
        <f ca="1">G34+Model_Annual!G36-Sensitivity_Analysis_Mthly!$AP$64</f>
        <v>20950241.52924322</v>
      </c>
      <c r="H35" s="149">
        <f ca="1">H34+Model_Annual!H36-Sensitivity_Analysis_Mthly!$AP$76</f>
        <v>26050095.51329492</v>
      </c>
      <c r="I35" s="149">
        <f ca="1">I34+Model_Annual!I36-Sensitivity_Analysis_Mthly!$AP$88</f>
        <v>26586859.082374014</v>
      </c>
      <c r="J35" s="149">
        <f ca="1">J34+Model_Annual!J36-Sensitivity_Analysis_Mthly!$AP$100</f>
        <v>32550274.441205185</v>
      </c>
      <c r="K35" s="149">
        <f ca="1">K34+Model_Annual!K36-Sensitivity_Analysis_Mthly!$AP$112</f>
        <v>33174571.324616011</v>
      </c>
      <c r="L35" s="149">
        <f ca="1">L34+Model_Annual!L36-Sensitivity_Analysis_Mthly!$AP$124</f>
        <v>40147726.896659933</v>
      </c>
      <c r="M35" s="165"/>
    </row>
    <row r="36" spans="1:13" hidden="1" outlineLevel="1">
      <c r="A36" s="282" t="str">
        <f>Sensitivity_Analysis_Mthly!AR2&amp;" @ Int Rate "&amp;TEXT(Sensitivity_Analysis_Mthly!AR3,"0.00%")</f>
        <v>CFBT @ Int Rate 6.00%</v>
      </c>
      <c r="B36" s="280">
        <f>Sensitivity_Analysis_Mthly!AR4</f>
        <v>-11200000</v>
      </c>
      <c r="C36" s="149">
        <f>SUM(Sensitivity_Analysis_Mthly!AR5:AR16)</f>
        <v>1020540.8013258546</v>
      </c>
      <c r="D36" s="149">
        <f>SUM(Sensitivity_Analysis_Mthly!AR17:AR28)</f>
        <v>1011983.1263258547</v>
      </c>
      <c r="E36" s="149">
        <f>SUM(Sensitivity_Analysis_Mthly!AR29:AR40)</f>
        <v>1312264.0002783551</v>
      </c>
      <c r="F36" s="149">
        <f>SUM(Sensitivity_Analysis_Mthly!AR41:AR52)</f>
        <v>1308871.6851354241</v>
      </c>
      <c r="G36" s="149">
        <f>SUM(Sensitivity_Analysis_Mthly!AR53:AR64)</f>
        <v>1660499.4247363009</v>
      </c>
      <c r="H36" s="149">
        <f>SUM(Sensitivity_Analysis_Mthly!AR65:AR76)</f>
        <v>1656840.3439980792</v>
      </c>
      <c r="I36" s="149">
        <f>SUM(Sensitivity_Analysis_Mthly!AR77:AR88)</f>
        <v>2068565.9506068018</v>
      </c>
      <c r="J36" s="149">
        <f>SUM(Sensitivity_Analysis_Mthly!AR89:AR100)</f>
        <v>2064617.6298466697</v>
      </c>
      <c r="K36" s="149">
        <f>SUM(Sensitivity_Analysis_Mthly!AR101:AR112)</f>
        <v>2546681.4923044192</v>
      </c>
      <c r="L36" s="149">
        <f>SUM(Sensitivity_Analysis_Mthly!AR113:AR124)</f>
        <v>2542419.4235788602</v>
      </c>
      <c r="M36" s="165"/>
    </row>
    <row r="37" spans="1:13" hidden="1" outlineLevel="1">
      <c r="A37" s="283" t="str">
        <f>A35</f>
        <v>Terminal CFBT</v>
      </c>
      <c r="B37" s="280"/>
      <c r="C37" s="149">
        <f ca="1">C36+Model_Annual!C36-Sensitivity_Analysis_Mthly!$AS$16</f>
        <v>11982850.613992151</v>
      </c>
      <c r="D37" s="149">
        <f ca="1">D36+Model_Annual!D36-Sensitivity_Analysis_Mthly!$AS$28</f>
        <v>15701519.941247374</v>
      </c>
      <c r="E37" s="149">
        <f ca="1">E36+Model_Annual!E36-Sensitivity_Analysis_Mthly!$AS$40</f>
        <v>16092588.747129522</v>
      </c>
      <c r="F37" s="149">
        <f ca="1">F36+Model_Annual!F36-Sensitivity_Analysis_Mthly!$AS$52</f>
        <v>20448335.388729103</v>
      </c>
      <c r="G37" s="149">
        <f ca="1">G36+Model_Annual!G36-Sensitivity_Analysis_Mthly!$AS$64</f>
        <v>20904270.838635176</v>
      </c>
      <c r="H37" s="149">
        <f ca="1">H36+Model_Annual!H36-Sensitivity_Analysis_Mthly!$AS$76</f>
        <v>25998677.396818124</v>
      </c>
      <c r="I37" s="149">
        <f ca="1">I36+Model_Annual!I36-Sensitivity_Analysis_Mthly!$AS$88</f>
        <v>26530087.033221487</v>
      </c>
      <c r="J37" s="149">
        <f ca="1">J36+Model_Annual!J36-Sensitivity_Analysis_Mthly!$AS$100</f>
        <v>32488273.075363737</v>
      </c>
      <c r="K37" s="149">
        <f ca="1">K36+Model_Annual!K36-Sensitivity_Analysis_Mthly!$AS$112</f>
        <v>33107499.797486015</v>
      </c>
      <c r="L37" s="149">
        <f ca="1">L36+Model_Annual!L36-Sensitivity_Analysis_Mthly!$AS$124</f>
        <v>40075782.618789323</v>
      </c>
      <c r="M37" s="165"/>
    </row>
    <row r="38" spans="1:13" hidden="1" outlineLevel="1">
      <c r="A38" s="279" t="str">
        <f>Sensitivity_Analysis_Mthly!AU2&amp;" @ Int Rate "&amp;TEXT(Sensitivity_Analysis_Mthly!AU3,"0.00%")</f>
        <v>CFBT @ Int Rate 6.25%</v>
      </c>
      <c r="B38" s="280">
        <f>Sensitivity_Analysis_Mthly!AU4</f>
        <v>-11200000</v>
      </c>
      <c r="C38" s="149">
        <f>SUM(Sensitivity_Analysis_Mthly!AU5:AU16)</f>
        <v>1002110.7915139114</v>
      </c>
      <c r="D38" s="149">
        <f>SUM(Sensitivity_Analysis_Mthly!AU17:AU28)</f>
        <v>993553.11651391152</v>
      </c>
      <c r="E38" s="149">
        <f>SUM(Sensitivity_Analysis_Mthly!AU29:AU40)</f>
        <v>1293833.9904664117</v>
      </c>
      <c r="F38" s="149">
        <f>SUM(Sensitivity_Analysis_Mthly!AU41:AU52)</f>
        <v>1290441.6753234805</v>
      </c>
      <c r="G38" s="149">
        <f>SUM(Sensitivity_Analysis_Mthly!AU53:AU64)</f>
        <v>1642069.4149243576</v>
      </c>
      <c r="H38" s="149">
        <f>SUM(Sensitivity_Analysis_Mthly!AU65:AU76)</f>
        <v>1638410.3341861365</v>
      </c>
      <c r="I38" s="149">
        <f>SUM(Sensitivity_Analysis_Mthly!AU77:AU88)</f>
        <v>2050135.9407948582</v>
      </c>
      <c r="J38" s="149">
        <f>SUM(Sensitivity_Analysis_Mthly!AU89:AU100)</f>
        <v>2046187.6200347259</v>
      </c>
      <c r="K38" s="149">
        <f>SUM(Sensitivity_Analysis_Mthly!AU101:AU112)</f>
        <v>2528251.4824924758</v>
      </c>
      <c r="L38" s="149">
        <f>SUM(Sensitivity_Analysis_Mthly!AU113:AU124)</f>
        <v>2523989.4137669164</v>
      </c>
      <c r="M38" s="165"/>
    </row>
    <row r="39" spans="1:13" hidden="1" outlineLevel="1">
      <c r="A39" s="281" t="str">
        <f>A37</f>
        <v>Terminal CFBT</v>
      </c>
      <c r="B39" s="280"/>
      <c r="C39" s="149">
        <f ca="1">C38+Model_Annual!C36-Sensitivity_Analysis_Mthly!$AV$16</f>
        <v>11959080.081265183</v>
      </c>
      <c r="D39" s="149">
        <f ca="1">D38+Model_Annual!D36-Sensitivity_Analysis_Mthly!$AV$28</f>
        <v>15672373.825782301</v>
      </c>
      <c r="E39" s="149">
        <f ca="1">E38+Model_Annual!E36-Sensitivity_Analysis_Mthly!$AV$40</f>
        <v>16058048.758654855</v>
      </c>
      <c r="F39" s="149">
        <f ca="1">F38+Model_Annual!F36-Sensitivity_Analysis_Mthly!$AV$52</f>
        <v>20408402.258572519</v>
      </c>
      <c r="G39" s="149">
        <f ca="1">G38+Model_Annual!G36-Sensitivity_Analysis_Mthly!$AV$64</f>
        <v>20858966.788999617</v>
      </c>
      <c r="H39" s="149">
        <f ca="1">H38+Model_Annual!H36-Sensitivity_Analysis_Mthly!$AV$76</f>
        <v>25948048.845722701</v>
      </c>
      <c r="I39" s="149">
        <f ca="1">I38+Model_Annual!I36-Sensitivity_Analysis_Mthly!$AV$88</f>
        <v>26474207.555004708</v>
      </c>
      <c r="J39" s="149">
        <f ca="1">J38+Model_Annual!J36-Sensitivity_Analysis_Mthly!$AV$100</f>
        <v>32427246.638218708</v>
      </c>
      <c r="K39" s="149">
        <f ca="1">K38+Model_Annual!K36-Sensitivity_Analysis_Mthly!$AV$112</f>
        <v>33041464.30118854</v>
      </c>
      <c r="L39" s="149">
        <f ca="1">L38+Model_Annual!L36-Sensitivity_Analysis_Mthly!$AV$124</f>
        <v>40004913.757599026</v>
      </c>
      <c r="M39" s="165"/>
    </row>
    <row r="40" spans="1:13" hidden="1" outlineLevel="1">
      <c r="A40" s="239"/>
      <c r="B40" s="285"/>
      <c r="C40" s="149"/>
      <c r="D40" s="149"/>
      <c r="E40" s="149"/>
      <c r="F40" s="149"/>
      <c r="G40" s="149"/>
      <c r="H40" s="149"/>
      <c r="I40" s="149"/>
      <c r="J40" s="149"/>
      <c r="K40" s="149"/>
      <c r="L40" s="149"/>
      <c r="M40" s="165"/>
    </row>
    <row r="41" spans="1:13" collapsed="1">
      <c r="A41" s="274" t="s">
        <v>128</v>
      </c>
      <c r="B41" s="275">
        <f>Sensitivity_Analysis_Mthly!BG3</f>
        <v>4.7499999999999994E-2</v>
      </c>
      <c r="C41" s="288">
        <f ca="1">IF(AND(leveraged_property,down_payment&gt;0),IRR(($B$26:B26,C27),),"N/A")</f>
        <v>8.0499215699042656E-2</v>
      </c>
      <c r="D41" s="288">
        <f ca="1">IF(AND(leveraged_property,down_payment&gt;0),IRR(($B$26:C26,D27),),"N/A")</f>
        <v>0.24017201457225301</v>
      </c>
      <c r="E41" s="288">
        <f ca="1">IF(AND(leveraged_property,down_payment&gt;0),IRR(($B$26:D26,E27),),"N/A")</f>
        <v>0.19630526799564138</v>
      </c>
      <c r="F41" s="288">
        <f ca="1">IF(AND(leveraged_property,down_payment&gt;0),IRR(($B$26:E26,F27),),"N/A")</f>
        <v>0.23633057301008084</v>
      </c>
      <c r="G41" s="288">
        <f ca="1">IF(AND(leveraged_property,down_payment&gt;0),IRR(($B$26:F26,G27),),"N/A")</f>
        <v>0.2115714460460513</v>
      </c>
      <c r="H41" s="288">
        <f ca="1">IF(AND(leveraged_property,down_payment&gt;0),IRR(($B$26:G26,H27),),"N/A")</f>
        <v>0.22997609867791657</v>
      </c>
      <c r="I41" s="288">
        <f ca="1">IF(AND(leveraged_property,down_payment&gt;0),IRR(($B$26:H26,I27),),"N/A")</f>
        <v>0.21396057863446333</v>
      </c>
      <c r="J41" s="288">
        <f ca="1">IF(AND(leveraged_property,down_payment&gt;0),IRR(($B$26:I26,J27),),"N/A")</f>
        <v>0.22435507104541974</v>
      </c>
      <c r="K41" s="288">
        <f ca="1">IF(AND(leveraged_property,down_payment&gt;0),IRR(($B$26:J26,K27),),"N/A")</f>
        <v>0.21315460295209979</v>
      </c>
      <c r="L41" s="288">
        <f ca="1">IF(AND(leveraged_property,down_payment&gt;0),IRR(($B$26:K26,L27),),"N/A")</f>
        <v>0.2197014876509398</v>
      </c>
      <c r="M41" s="165"/>
    </row>
    <row r="42" spans="1:13">
      <c r="A42" s="276"/>
      <c r="B42" s="275">
        <f>Sensitivity_Analysis_Mthly!BH3</f>
        <v>4.9999999999999996E-2</v>
      </c>
      <c r="C42" s="288">
        <f ca="1">IF(AND(leveraged_property,down_payment&gt;0),IRR(($B$28:B28,C29),),"N/A")</f>
        <v>7.8380371213844169E-2</v>
      </c>
      <c r="D42" s="288">
        <f ca="1">IF(AND(leveraged_property,down_payment&gt;0),IRR(($B$28:C28,D29),),"N/A")</f>
        <v>0.23823837640163462</v>
      </c>
      <c r="E42" s="288">
        <f ca="1">IF(AND(leveraged_property,down_payment&gt;0),IRR(($B$28:D28,E29),),"N/A")</f>
        <v>0.19445808094072328</v>
      </c>
      <c r="F42" s="288">
        <f ca="1">IF(AND(leveraged_property,down_payment&gt;0),IRR(($B$28:E28,F29),),"N/A")</f>
        <v>0.23469816217059558</v>
      </c>
      <c r="G42" s="288">
        <f ca="1">IF(AND(leveraged_property,down_payment&gt;0),IRR(($B$28:F28,G29),),"N/A")</f>
        <v>0.20998963383967673</v>
      </c>
      <c r="H42" s="288">
        <f ca="1">IF(AND(leveraged_property,down_payment&gt;0),IRR(($B$28:G28,H29),),"N/A")</f>
        <v>0.22855595991033167</v>
      </c>
      <c r="I42" s="288">
        <f ca="1">IF(AND(leveraged_property,down_payment&gt;0),IRR(($B$28:H28,I29),),"N/A")</f>
        <v>0.21257319948122086</v>
      </c>
      <c r="J42" s="288">
        <f ca="1">IF(AND(leveraged_property,down_payment&gt;0),IRR(($B$28:I28,J29),),"N/A")</f>
        <v>0.22308855030032188</v>
      </c>
      <c r="K42" s="288">
        <f ca="1">IF(AND(leveraged_property,down_payment&gt;0),IRR(($B$28:J28,K29),),"N/A")</f>
        <v>0.21191006276600521</v>
      </c>
      <c r="L42" s="288">
        <f ca="1">IF(AND(leveraged_property,down_payment&gt;0),IRR(($B$28:K28,L29),),"N/A")</f>
        <v>0.21854876889935995</v>
      </c>
      <c r="M42" s="165"/>
    </row>
    <row r="43" spans="1:13">
      <c r="A43" s="276"/>
      <c r="B43" s="275">
        <f>Sensitivity_Analysis_Mthly!BI3</f>
        <v>5.2499999999999998E-2</v>
      </c>
      <c r="C43" s="288">
        <f ca="1">IF(AND(leveraged_property,down_payment&gt;0),IRR(($B$30:B30,C31),),"N/A")</f>
        <v>7.6260705960607175E-2</v>
      </c>
      <c r="D43" s="288">
        <f ca="1">IF(AND(leveraged_property,down_payment&gt;0),IRR(($B$30:C30,D31),),"N/A")</f>
        <v>0.2363005381677252</v>
      </c>
      <c r="E43" s="288">
        <f ca="1">IF(AND(leveraged_property,down_payment&gt;0),IRR(($B$30:D30,E31),),"N/A")</f>
        <v>0.19260442594558025</v>
      </c>
      <c r="F43" s="288">
        <f ca="1">IF(AND(leveraged_property,down_payment&gt;0),IRR(($B$30:E30,F31),),"N/A")</f>
        <v>0.23305758206073021</v>
      </c>
      <c r="G43" s="288">
        <f ca="1">IF(AND(leveraged_property,down_payment&gt;0),IRR(($B$30:F30,G31),),"N/A")</f>
        <v>0.20839835794829495</v>
      </c>
      <c r="H43" s="288">
        <f ca="1">IF(AND(leveraged_property,down_payment&gt;0),IRR(($B$30:G30,H31),),"N/A")</f>
        <v>0.22712583160150465</v>
      </c>
      <c r="I43" s="288">
        <f ca="1">IF(AND(leveraged_property,down_payment&gt;0),IRR(($B$30:H30,I31),),"N/A")</f>
        <v>0.21117505520293189</v>
      </c>
      <c r="J43" s="288">
        <f ca="1">IF(AND(leveraged_property,down_payment&gt;0),IRR(($B$30:I30,J31),),"N/A")</f>
        <v>0.22181132035707032</v>
      </c>
      <c r="K43" s="288">
        <f ca="1">IF(AND(leveraged_property,down_payment&gt;0),IRR(($B$30:J30,K31),),"N/A")</f>
        <v>0.21065434712332332</v>
      </c>
      <c r="L43" s="288">
        <f ca="1">IF(AND(leveraged_property,down_payment&gt;0),IRR(($B$30:K30,L31),),"N/A")</f>
        <v>0.21738521156465265</v>
      </c>
      <c r="M43" s="165"/>
    </row>
    <row r="44" spans="1:13">
      <c r="A44" s="276"/>
      <c r="B44" s="275">
        <f>Sensitivity_Analysis_Mthly!BJ3</f>
        <v>5.5E-2</v>
      </c>
      <c r="C44" s="303">
        <f ca="1">IF(AND(leveraged_property,down_payment&gt;0),IRR(($B$32:B32,C33),),"N/A")</f>
        <v>7.4140280131207881E-2</v>
      </c>
      <c r="D44" s="303">
        <f ca="1">IF(AND(leveraged_property,down_payment&gt;0),IRR(($B$32:C32,D33),),"N/A")</f>
        <v>0.23435868958755987</v>
      </c>
      <c r="E44" s="303">
        <f ca="1">IF(AND(leveraged_property,down_payment&gt;0),IRR(($B$32:D32,E33),),"N/A")</f>
        <v>0.1907445811726394</v>
      </c>
      <c r="F44" s="303">
        <f ca="1">IF(AND(leveraged_property,down_payment&gt;0),IRR(($B$32:E32,F33),),"N/A")</f>
        <v>0.23140915882408167</v>
      </c>
      <c r="G44" s="303">
        <f ca="1">IF(AND(leveraged_property,down_payment&gt;0),IRR(($B$32:F32,G33),),"N/A")</f>
        <v>0.20679798943312752</v>
      </c>
      <c r="H44" s="303">
        <f ca="1">IF(AND(leveraged_property,down_payment&gt;0),IRR(($B$32:G32,H33),),"N/A")</f>
        <v>0.22568609476081303</v>
      </c>
      <c r="I44" s="303">
        <f ca="1">IF(AND(leveraged_property,down_payment&gt;0),IRR(($B$32:H32,I33),),"N/A")</f>
        <v>0.20976655106056638</v>
      </c>
      <c r="J44" s="303">
        <f ca="1">IF(AND(leveraged_property,down_payment&gt;0),IRR(($B$32:I32,J33),),"N/A")</f>
        <v>0.22052378165369871</v>
      </c>
      <c r="K44" s="303">
        <f ca="1">IF(AND(leveraged_property,down_payment&gt;0),IRR(($B$32:J32,K33),),"N/A")</f>
        <v>0.20938787009588924</v>
      </c>
      <c r="L44" s="303">
        <f ca="1">IF(AND(leveraged_property,down_payment&gt;0),IRR(($B$32:K32,L33),),"N/A")</f>
        <v>0.21621121975359542</v>
      </c>
      <c r="M44" s="165"/>
    </row>
    <row r="45" spans="1:13">
      <c r="A45" s="276"/>
      <c r="B45" s="275">
        <f>Sensitivity_Analysis_Mthly!BK3</f>
        <v>5.7500000000000002E-2</v>
      </c>
      <c r="C45" s="288">
        <f ca="1">IF(AND(leveraged_property,down_payment&gt;0),IRR(($B$34:B34,C35),),"N/A")</f>
        <v>7.2019151669862697E-2</v>
      </c>
      <c r="D45" s="288">
        <f ca="1">IF(AND(leveraged_property,down_payment&gt;0),IRR(($B$34:C34,D35),),"N/A")</f>
        <v>0.23241301699057978</v>
      </c>
      <c r="E45" s="288">
        <f ca="1">IF(AND(leveraged_property,down_payment&gt;0),IRR(($B$34:D34,E35),),"N/A")</f>
        <v>0.18887882101257455</v>
      </c>
      <c r="F45" s="288">
        <f ca="1">IF(AND(leveraged_property,down_payment&gt;0),IRR(($B$34:E34,F35),),"N/A")</f>
        <v>0.22975321613554878</v>
      </c>
      <c r="G45" s="288">
        <f ca="1">IF(AND(leveraged_property,down_payment&gt;0),IRR(($B$34:F34,G35),),"N/A")</f>
        <v>0.20518889747983729</v>
      </c>
      <c r="H45" s="288">
        <f ca="1">IF(AND(leveraged_property,down_payment&gt;0),IRR(($B$34:G34,H35),),"N/A")</f>
        <v>0.22423712976173429</v>
      </c>
      <c r="I45" s="288">
        <f ca="1">IF(AND(leveraged_property,down_payment&gt;0),IRR(($B$34:H34,I35),),"N/A")</f>
        <v>0.2083480924374887</v>
      </c>
      <c r="J45" s="288">
        <f ca="1">IF(AND(leveraged_property,down_payment&gt;0),IRR(($B$34:I34,J35),),"N/A")</f>
        <v>0.21922633556526427</v>
      </c>
      <c r="K45" s="288">
        <f ca="1">IF(AND(leveraged_property,down_payment&gt;0),IRR(($B$34:J34,K35),),"N/A")</f>
        <v>0.20811104736032796</v>
      </c>
      <c r="L45" s="288">
        <f ca="1">IF(AND(leveraged_property,down_payment&gt;0),IRR(($B$34:K34,L35),),"N/A")</f>
        <v>0.21502719960279007</v>
      </c>
      <c r="M45" s="165"/>
    </row>
    <row r="46" spans="1:13">
      <c r="A46" s="276"/>
      <c r="B46" s="275">
        <f>Sensitivity_Analysis_Mthly!BL3</f>
        <v>6.0000000000000005E-2</v>
      </c>
      <c r="C46" s="288">
        <f ca="1">IF(AND(leveraged_property,down_payment&gt;0),IRR(($B$36:B36,C37),),"N/A")</f>
        <v>6.989737624929869E-2</v>
      </c>
      <c r="D46" s="288">
        <f ca="1">IF(AND(leveraged_property,down_payment&gt;0),IRR(($B$36:C36,D37),),"N/A")</f>
        <v>0.2304637030536543</v>
      </c>
      <c r="E46" s="288">
        <f ca="1">IF(AND(leveraged_property,down_payment&gt;0),IRR(($B$36:D36,E37),),"N/A")</f>
        <v>0.18700741561769438</v>
      </c>
      <c r="F46" s="288">
        <f ca="1">IF(AND(leveraged_property,down_payment&gt;0),IRR(($B$36:E36,F37),),"N/A")</f>
        <v>0.22809007456171723</v>
      </c>
      <c r="G46" s="288">
        <f ca="1">IF(AND(leveraged_property,down_payment&gt;0),IRR(($B$36:F36,G37),),"N/A")</f>
        <v>0.20357144861652865</v>
      </c>
      <c r="H46" s="288">
        <f ca="1">IF(AND(leveraged_property,down_payment&gt;0),IRR(($B$36:G36,H37),),"N/A")</f>
        <v>0.22277931548508145</v>
      </c>
      <c r="I46" s="288">
        <f ca="1">IF(AND(leveraged_property,down_payment&gt;0),IRR(($B$36:H36,I37),),"N/A")</f>
        <v>0.20692008389020639</v>
      </c>
      <c r="J46" s="288">
        <f ca="1">IF(AND(leveraged_property,down_payment&gt;0),IRR(($B$36:I36,J37),),"N/A")</f>
        <v>0.21791938343510445</v>
      </c>
      <c r="K46" s="288">
        <f ca="1">IF(AND(leveraged_property,down_payment&gt;0),IRR(($B$36:J36,K37),),"N/A")</f>
        <v>0.20682429517128306</v>
      </c>
      <c r="L46" s="288">
        <f ca="1">IF(AND(leveraged_property,down_payment&gt;0),IRR(($B$36:K36,L37),),"N/A")</f>
        <v>0.21383355825978731</v>
      </c>
      <c r="M46" s="165"/>
    </row>
    <row r="47" spans="1:13">
      <c r="A47" s="277"/>
      <c r="B47" s="275">
        <f>Sensitivity_Analysis_Mthly!BM3</f>
        <v>6.25E-2</v>
      </c>
      <c r="C47" s="288">
        <f ca="1">IF(AND(leveraged_property,down_payment&gt;0),IRR(($B$38:B38,C39),),"N/A")</f>
        <v>6.7775007255819725E-2</v>
      </c>
      <c r="D47" s="288">
        <f ca="1">IF(AND(leveraged_property,down_payment&gt;0),IRR(($B$38:C38,D39),),"N/A")</f>
        <v>0.22851092655981003</v>
      </c>
      <c r="E47" s="288">
        <f ca="1">IF(AND(leveraged_property,down_payment&gt;0),IRR(($B$38:D38,E39),),"N/A")</f>
        <v>0.18513063046960931</v>
      </c>
      <c r="F47" s="288">
        <f ca="1">IF(AND(leveraged_property,down_payment&gt;0),IRR(($B$38:E38,F39),),"N/A")</f>
        <v>0.22642005095786868</v>
      </c>
      <c r="G47" s="288">
        <f ca="1">IF(AND(leveraged_property,down_payment&gt;0),IRR(($B$38:F38,G39),),"N/A")</f>
        <v>0.20194600597196716</v>
      </c>
      <c r="H47" s="288">
        <f ca="1">IF(AND(leveraged_property,down_payment&gt;0),IRR(($B$38:G38,H39),),"N/A")</f>
        <v>0.22131302850047679</v>
      </c>
      <c r="I47" s="288">
        <f ca="1">IF(AND(leveraged_property,down_payment&gt;0),IRR(($B$38:H38,I39),),"N/A")</f>
        <v>0.20548292823780487</v>
      </c>
      <c r="J47" s="288">
        <f ca="1">IF(AND(leveraged_property,down_payment&gt;0),IRR(($B$38:I38,J39),),"N/A")</f>
        <v>0.21660332564215751</v>
      </c>
      <c r="K47" s="288">
        <f ca="1">IF(AND(leveraged_property,down_payment&gt;0),IRR(($B$38:J38,K39),),"N/A")</f>
        <v>0.20552802937002335</v>
      </c>
      <c r="L47" s="288">
        <f ca="1">IF(AND(leveraged_property,down_payment&gt;0),IRR(($B$38:K38,L39),),"N/A")</f>
        <v>0.21263070289750199</v>
      </c>
      <c r="M47" s="165"/>
    </row>
    <row r="48" spans="1:13">
      <c r="B48" s="286"/>
      <c r="C48" s="165"/>
      <c r="D48" s="165"/>
      <c r="E48" s="165"/>
      <c r="F48" s="165"/>
      <c r="G48" s="165"/>
      <c r="H48" s="165"/>
      <c r="I48" s="165"/>
      <c r="J48" s="165"/>
      <c r="K48" s="165"/>
      <c r="L48" s="165"/>
      <c r="M48" s="165"/>
    </row>
    <row r="49" spans="2:13">
      <c r="B49" s="286"/>
      <c r="C49" s="165"/>
      <c r="D49" s="165"/>
      <c r="E49" s="165"/>
      <c r="F49" s="165"/>
      <c r="G49" s="165"/>
      <c r="H49" s="165"/>
      <c r="I49" s="165"/>
      <c r="J49" s="165"/>
      <c r="K49" s="165"/>
      <c r="L49" s="165"/>
      <c r="M49" s="165"/>
    </row>
    <row r="50" spans="2:13">
      <c r="B50" s="286"/>
      <c r="C50" s="165"/>
      <c r="D50" s="165"/>
      <c r="E50" s="165"/>
      <c r="F50" s="165"/>
      <c r="G50" s="165"/>
      <c r="H50" s="165"/>
      <c r="I50" s="165"/>
      <c r="J50" s="165"/>
      <c r="K50" s="165"/>
      <c r="L50" s="165"/>
      <c r="M50" s="165"/>
    </row>
    <row r="51" spans="2:13">
      <c r="B51" s="286"/>
      <c r="C51" s="165"/>
      <c r="D51" s="165"/>
      <c r="E51" s="165"/>
      <c r="F51" s="165"/>
      <c r="G51" s="165"/>
      <c r="H51" s="165"/>
      <c r="I51" s="165"/>
      <c r="J51" s="165"/>
      <c r="K51" s="165"/>
      <c r="L51" s="165"/>
      <c r="M51" s="165"/>
    </row>
    <row r="52" spans="2:13">
      <c r="B52" s="286"/>
      <c r="C52" s="165"/>
      <c r="D52" s="165"/>
      <c r="E52" s="165"/>
      <c r="F52" s="165"/>
      <c r="G52" s="165"/>
      <c r="H52" s="165"/>
      <c r="I52" s="165"/>
      <c r="J52" s="165"/>
      <c r="K52" s="165"/>
      <c r="L52" s="165"/>
      <c r="M52" s="165"/>
    </row>
    <row r="53" spans="2:13">
      <c r="B53" s="287"/>
      <c r="C53" s="165"/>
      <c r="D53" s="165"/>
      <c r="E53" s="165"/>
      <c r="F53" s="165"/>
      <c r="G53" s="165"/>
      <c r="H53" s="165"/>
      <c r="I53" s="165"/>
      <c r="J53" s="165"/>
      <c r="K53" s="165"/>
      <c r="L53" s="165"/>
      <c r="M53" s="165"/>
    </row>
    <row r="54" spans="2:13">
      <c r="B54" s="287"/>
      <c r="C54" s="165"/>
      <c r="D54" s="165"/>
      <c r="E54" s="165"/>
      <c r="F54" s="165"/>
      <c r="G54" s="165"/>
      <c r="H54" s="165"/>
      <c r="I54" s="165"/>
      <c r="J54" s="165"/>
      <c r="K54" s="165"/>
      <c r="L54" s="165"/>
      <c r="M54" s="165"/>
    </row>
    <row r="55" spans="2:13">
      <c r="B55" s="287"/>
      <c r="C55" s="165"/>
      <c r="D55" s="165"/>
      <c r="E55" s="165"/>
      <c r="F55" s="165"/>
      <c r="G55" s="165"/>
      <c r="H55" s="165"/>
      <c r="I55" s="165"/>
      <c r="J55" s="165"/>
      <c r="K55" s="165"/>
      <c r="L55" s="165"/>
      <c r="M55" s="165"/>
    </row>
    <row r="56" spans="2:13">
      <c r="B56" s="287"/>
      <c r="C56" s="165"/>
      <c r="D56" s="165"/>
      <c r="E56" s="165"/>
      <c r="F56" s="165"/>
      <c r="G56" s="165"/>
      <c r="H56" s="165"/>
      <c r="I56" s="165"/>
      <c r="J56" s="165"/>
      <c r="K56" s="165"/>
      <c r="L56" s="165"/>
      <c r="M56" s="165"/>
    </row>
    <row r="57" spans="2:13">
      <c r="B57" s="287"/>
      <c r="C57" s="165"/>
      <c r="D57" s="165"/>
      <c r="E57" s="165"/>
      <c r="F57" s="165"/>
      <c r="G57" s="165"/>
      <c r="H57" s="165"/>
      <c r="I57" s="165"/>
      <c r="J57" s="165"/>
      <c r="K57" s="165"/>
      <c r="L57" s="165"/>
      <c r="M57" s="165"/>
    </row>
    <row r="58" spans="2:13">
      <c r="B58" s="287"/>
      <c r="C58" s="165"/>
      <c r="D58" s="165"/>
      <c r="E58" s="165"/>
      <c r="F58" s="165"/>
      <c r="G58" s="165"/>
      <c r="H58" s="165"/>
      <c r="I58" s="165"/>
      <c r="J58" s="165"/>
      <c r="K58" s="165"/>
      <c r="L58" s="165"/>
      <c r="M58" s="165"/>
    </row>
    <row r="59" spans="2:13">
      <c r="B59" s="287"/>
      <c r="C59" s="165"/>
      <c r="D59" s="165"/>
      <c r="E59" s="165"/>
      <c r="F59" s="165"/>
      <c r="G59" s="165"/>
      <c r="H59" s="165"/>
      <c r="I59" s="165"/>
      <c r="J59" s="165"/>
      <c r="K59" s="165"/>
      <c r="L59" s="165"/>
      <c r="M59" s="165"/>
    </row>
    <row r="60" spans="2:13">
      <c r="B60" s="287"/>
      <c r="C60" s="165"/>
      <c r="D60" s="165"/>
      <c r="E60" s="165"/>
      <c r="F60" s="165"/>
      <c r="G60" s="165"/>
      <c r="H60" s="165"/>
      <c r="I60" s="165"/>
      <c r="J60" s="165"/>
      <c r="K60" s="165"/>
      <c r="L60" s="165"/>
      <c r="M60" s="165"/>
    </row>
    <row r="61" spans="2:13">
      <c r="B61" s="287"/>
      <c r="C61" s="165"/>
      <c r="D61" s="165"/>
      <c r="E61" s="165"/>
      <c r="F61" s="165"/>
      <c r="G61" s="165"/>
      <c r="H61" s="165"/>
      <c r="I61" s="165"/>
      <c r="J61" s="165"/>
      <c r="K61" s="165"/>
      <c r="L61" s="165"/>
      <c r="M61" s="165"/>
    </row>
    <row r="62" spans="2:13">
      <c r="B62" s="287"/>
      <c r="C62" s="165"/>
      <c r="D62" s="165"/>
      <c r="E62" s="165"/>
      <c r="F62" s="165"/>
      <c r="G62" s="165"/>
      <c r="H62" s="165"/>
      <c r="I62" s="165"/>
      <c r="J62" s="165"/>
      <c r="K62" s="165"/>
      <c r="L62" s="165"/>
      <c r="M62" s="165"/>
    </row>
    <row r="63" spans="2:13">
      <c r="B63" s="287"/>
      <c r="C63" s="165"/>
      <c r="D63" s="165"/>
      <c r="E63" s="165"/>
      <c r="F63" s="165"/>
      <c r="G63" s="165"/>
      <c r="H63" s="165"/>
      <c r="I63" s="165"/>
      <c r="J63" s="165"/>
      <c r="K63" s="165"/>
      <c r="L63" s="165"/>
      <c r="M63" s="165"/>
    </row>
    <row r="64" spans="2:13">
      <c r="B64" s="287"/>
      <c r="C64" s="165"/>
      <c r="D64" s="165"/>
      <c r="E64" s="165"/>
      <c r="F64" s="165"/>
      <c r="G64" s="165"/>
      <c r="H64" s="165"/>
      <c r="I64" s="165"/>
      <c r="J64" s="165"/>
      <c r="K64" s="165"/>
      <c r="L64" s="165"/>
      <c r="M64" s="165"/>
    </row>
    <row r="65" spans="2:13">
      <c r="B65" s="287"/>
      <c r="C65" s="165"/>
      <c r="D65" s="165"/>
      <c r="E65" s="165"/>
      <c r="F65" s="165"/>
      <c r="G65" s="165"/>
      <c r="H65" s="165"/>
      <c r="I65" s="165"/>
      <c r="J65" s="165"/>
      <c r="K65" s="165"/>
      <c r="L65" s="165"/>
      <c r="M65" s="165"/>
    </row>
    <row r="66" spans="2:13">
      <c r="B66" s="287"/>
      <c r="C66" s="165"/>
      <c r="D66" s="165"/>
      <c r="E66" s="165"/>
      <c r="F66" s="165"/>
      <c r="G66" s="165"/>
      <c r="H66" s="165"/>
      <c r="I66" s="165"/>
      <c r="J66" s="165"/>
      <c r="K66" s="165"/>
      <c r="L66" s="165"/>
      <c r="M66" s="165"/>
    </row>
    <row r="67" spans="2:13">
      <c r="B67" s="287"/>
      <c r="C67" s="165"/>
      <c r="D67" s="165"/>
      <c r="E67" s="165"/>
      <c r="F67" s="165"/>
      <c r="G67" s="165"/>
      <c r="H67" s="165"/>
      <c r="I67" s="165"/>
      <c r="J67" s="165"/>
      <c r="K67" s="165"/>
      <c r="L67" s="165"/>
      <c r="M67" s="165"/>
    </row>
    <row r="68" spans="2:13">
      <c r="B68" s="287"/>
      <c r="C68" s="165"/>
      <c r="D68" s="165"/>
      <c r="E68" s="165"/>
      <c r="F68" s="165"/>
      <c r="G68" s="165"/>
      <c r="H68" s="165"/>
      <c r="I68" s="165"/>
      <c r="J68" s="165"/>
      <c r="K68" s="165"/>
      <c r="L68" s="165"/>
      <c r="M68" s="165"/>
    </row>
    <row r="69" spans="2:13">
      <c r="B69" s="287"/>
      <c r="C69" s="165"/>
      <c r="D69" s="165"/>
      <c r="E69" s="165"/>
      <c r="F69" s="165"/>
      <c r="G69" s="165"/>
      <c r="H69" s="165"/>
      <c r="I69" s="165"/>
      <c r="J69" s="165"/>
      <c r="K69" s="165"/>
      <c r="L69" s="165"/>
      <c r="M69" s="165"/>
    </row>
    <row r="70" spans="2:13">
      <c r="B70" s="287"/>
      <c r="C70" s="165"/>
      <c r="D70" s="165"/>
      <c r="E70" s="165"/>
      <c r="F70" s="165"/>
      <c r="G70" s="165"/>
      <c r="H70" s="165"/>
      <c r="I70" s="165"/>
      <c r="J70" s="165"/>
      <c r="K70" s="165"/>
      <c r="L70" s="165"/>
      <c r="M70" s="165"/>
    </row>
    <row r="71" spans="2:13">
      <c r="B71" s="287"/>
      <c r="C71" s="165"/>
      <c r="D71" s="165"/>
      <c r="E71" s="165"/>
      <c r="F71" s="165"/>
      <c r="G71" s="165"/>
      <c r="H71" s="165"/>
      <c r="I71" s="165"/>
      <c r="J71" s="165"/>
      <c r="K71" s="165"/>
      <c r="L71" s="165"/>
      <c r="M71" s="165"/>
    </row>
    <row r="72" spans="2:13">
      <c r="B72" s="287"/>
      <c r="C72" s="165"/>
      <c r="D72" s="165"/>
      <c r="E72" s="165"/>
      <c r="F72" s="165"/>
      <c r="G72" s="165"/>
      <c r="H72" s="165"/>
      <c r="I72" s="165"/>
      <c r="J72" s="165"/>
      <c r="K72" s="165"/>
      <c r="L72" s="165"/>
      <c r="M72" s="165"/>
    </row>
    <row r="73" spans="2:13">
      <c r="B73" s="287"/>
      <c r="C73" s="165"/>
      <c r="D73" s="165"/>
      <c r="E73" s="165"/>
      <c r="F73" s="165"/>
      <c r="G73" s="165"/>
      <c r="H73" s="165"/>
      <c r="I73" s="165"/>
      <c r="J73" s="165"/>
      <c r="K73" s="165"/>
      <c r="L73" s="165"/>
      <c r="M73" s="165"/>
    </row>
    <row r="74" spans="2:13">
      <c r="B74" s="287"/>
      <c r="C74" s="165"/>
      <c r="D74" s="165"/>
      <c r="E74" s="165"/>
      <c r="F74" s="165"/>
      <c r="G74" s="165"/>
      <c r="H74" s="165"/>
      <c r="I74" s="165"/>
      <c r="J74" s="165"/>
      <c r="K74" s="165"/>
      <c r="L74" s="165"/>
      <c r="M74" s="165"/>
    </row>
    <row r="75" spans="2:13">
      <c r="B75" s="287"/>
      <c r="C75" s="165"/>
      <c r="D75" s="165"/>
      <c r="E75" s="165"/>
      <c r="F75" s="165"/>
      <c r="G75" s="165"/>
      <c r="H75" s="165"/>
      <c r="I75" s="165"/>
      <c r="J75" s="165"/>
      <c r="K75" s="165"/>
      <c r="L75" s="165"/>
      <c r="M75" s="165"/>
    </row>
    <row r="76" spans="2:13">
      <c r="B76" s="287"/>
      <c r="C76" s="165"/>
      <c r="D76" s="165"/>
      <c r="E76" s="165"/>
      <c r="F76" s="165"/>
      <c r="G76" s="165"/>
      <c r="H76" s="165"/>
      <c r="I76" s="165"/>
      <c r="J76" s="165"/>
      <c r="K76" s="165"/>
      <c r="L76" s="165"/>
      <c r="M76" s="165"/>
    </row>
    <row r="77" spans="2:13">
      <c r="B77" s="287"/>
      <c r="C77" s="165"/>
      <c r="D77" s="165"/>
      <c r="E77" s="165"/>
      <c r="F77" s="165"/>
      <c r="G77" s="165"/>
      <c r="H77" s="165"/>
      <c r="I77" s="165"/>
      <c r="J77" s="165"/>
      <c r="K77" s="165"/>
      <c r="L77" s="165"/>
      <c r="M77" s="165"/>
    </row>
    <row r="78" spans="2:13">
      <c r="B78" s="287"/>
      <c r="C78" s="165"/>
      <c r="D78" s="165"/>
      <c r="E78" s="165"/>
      <c r="F78" s="165"/>
      <c r="G78" s="165"/>
      <c r="H78" s="165"/>
      <c r="I78" s="165"/>
      <c r="J78" s="165"/>
      <c r="K78" s="165"/>
      <c r="L78" s="165"/>
      <c r="M78" s="165"/>
    </row>
    <row r="79" spans="2:13">
      <c r="B79" s="287"/>
      <c r="C79" s="165"/>
      <c r="D79" s="165"/>
      <c r="E79" s="165"/>
      <c r="F79" s="165"/>
      <c r="G79" s="165"/>
      <c r="H79" s="165"/>
      <c r="I79" s="165"/>
      <c r="J79" s="165"/>
      <c r="K79" s="165"/>
      <c r="L79" s="165"/>
      <c r="M79" s="165"/>
    </row>
    <row r="80" spans="2:13">
      <c r="B80" s="287"/>
      <c r="C80" s="165"/>
      <c r="D80" s="165"/>
      <c r="E80" s="165"/>
      <c r="F80" s="165"/>
      <c r="G80" s="165"/>
      <c r="H80" s="165"/>
      <c r="I80" s="165"/>
      <c r="J80" s="165"/>
      <c r="K80" s="165"/>
      <c r="L80" s="165"/>
      <c r="M80" s="165"/>
    </row>
    <row r="81" spans="2:13">
      <c r="B81" s="287"/>
      <c r="C81" s="165"/>
      <c r="D81" s="165"/>
      <c r="E81" s="165"/>
      <c r="F81" s="165"/>
      <c r="G81" s="165"/>
      <c r="H81" s="165"/>
      <c r="I81" s="165"/>
      <c r="J81" s="165"/>
      <c r="K81" s="165"/>
      <c r="L81" s="165"/>
      <c r="M81" s="165"/>
    </row>
    <row r="82" spans="2:13">
      <c r="B82" s="287"/>
      <c r="C82" s="165"/>
      <c r="D82" s="165"/>
      <c r="E82" s="165"/>
      <c r="F82" s="165"/>
      <c r="G82" s="165"/>
      <c r="H82" s="165"/>
      <c r="I82" s="165"/>
      <c r="J82" s="165"/>
      <c r="K82" s="165"/>
      <c r="L82" s="165"/>
      <c r="M82" s="165"/>
    </row>
    <row r="83" spans="2:13">
      <c r="B83" s="287"/>
      <c r="C83" s="165"/>
      <c r="D83" s="165"/>
      <c r="E83" s="165"/>
      <c r="F83" s="165"/>
      <c r="G83" s="165"/>
      <c r="H83" s="165"/>
      <c r="I83" s="165"/>
      <c r="J83" s="165"/>
      <c r="K83" s="165"/>
      <c r="L83" s="165"/>
      <c r="M83" s="165"/>
    </row>
    <row r="84" spans="2:13">
      <c r="B84" s="287"/>
      <c r="C84" s="165"/>
      <c r="D84" s="165"/>
      <c r="E84" s="165"/>
      <c r="F84" s="165"/>
      <c r="G84" s="165"/>
      <c r="H84" s="165"/>
      <c r="I84" s="165"/>
      <c r="J84" s="165"/>
      <c r="K84" s="165"/>
      <c r="L84" s="165"/>
      <c r="M84" s="165"/>
    </row>
    <row r="85" spans="2:13">
      <c r="B85" s="287"/>
      <c r="C85" s="165"/>
      <c r="D85" s="165"/>
      <c r="E85" s="165"/>
      <c r="F85" s="165"/>
      <c r="G85" s="165"/>
      <c r="H85" s="165"/>
      <c r="I85" s="165"/>
      <c r="J85" s="165"/>
      <c r="K85" s="165"/>
      <c r="L85" s="165"/>
      <c r="M85" s="165"/>
    </row>
    <row r="86" spans="2:13">
      <c r="B86" s="287"/>
      <c r="C86" s="165"/>
      <c r="D86" s="165"/>
      <c r="E86" s="165"/>
      <c r="F86" s="165"/>
      <c r="G86" s="165"/>
      <c r="H86" s="165"/>
      <c r="I86" s="165"/>
      <c r="J86" s="165"/>
      <c r="K86" s="165"/>
      <c r="L86" s="165"/>
      <c r="M86" s="165"/>
    </row>
    <row r="87" spans="2:13">
      <c r="B87" s="287"/>
      <c r="C87" s="165"/>
      <c r="D87" s="165"/>
      <c r="E87" s="165"/>
      <c r="F87" s="165"/>
      <c r="G87" s="165"/>
      <c r="H87" s="165"/>
      <c r="I87" s="165"/>
      <c r="J87" s="165"/>
      <c r="K87" s="165"/>
      <c r="L87" s="165"/>
      <c r="M87" s="165"/>
    </row>
    <row r="88" spans="2:13">
      <c r="B88" s="287"/>
      <c r="C88" s="165"/>
      <c r="D88" s="165"/>
      <c r="E88" s="165"/>
      <c r="F88" s="165"/>
      <c r="G88" s="165"/>
      <c r="H88" s="165"/>
      <c r="I88" s="165"/>
      <c r="J88" s="165"/>
      <c r="K88" s="165"/>
      <c r="L88" s="165"/>
      <c r="M88" s="165"/>
    </row>
    <row r="89" spans="2:13">
      <c r="B89" s="287"/>
      <c r="C89" s="165"/>
      <c r="D89" s="165"/>
      <c r="E89" s="165"/>
      <c r="F89" s="165"/>
      <c r="G89" s="165"/>
      <c r="H89" s="165"/>
      <c r="I89" s="165"/>
      <c r="J89" s="165"/>
      <c r="K89" s="165"/>
      <c r="L89" s="165"/>
      <c r="M89" s="165"/>
    </row>
    <row r="90" spans="2:13">
      <c r="B90" s="287"/>
      <c r="C90" s="165"/>
      <c r="D90" s="165"/>
      <c r="E90" s="165"/>
      <c r="F90" s="165"/>
      <c r="G90" s="165"/>
      <c r="H90" s="165"/>
      <c r="I90" s="165"/>
      <c r="J90" s="165"/>
      <c r="K90" s="165"/>
      <c r="L90" s="165"/>
      <c r="M90" s="165"/>
    </row>
    <row r="91" spans="2:13">
      <c r="B91" s="287"/>
      <c r="C91" s="165"/>
      <c r="D91" s="165"/>
      <c r="E91" s="165"/>
      <c r="F91" s="165"/>
      <c r="G91" s="165"/>
      <c r="H91" s="165"/>
      <c r="I91" s="165"/>
      <c r="J91" s="165"/>
      <c r="K91" s="165"/>
      <c r="L91" s="165"/>
    </row>
    <row r="92" spans="2:13">
      <c r="B92" s="287"/>
      <c r="C92" s="165"/>
      <c r="D92" s="165"/>
      <c r="E92" s="165"/>
      <c r="F92" s="165"/>
      <c r="G92" s="165"/>
      <c r="H92" s="165"/>
      <c r="I92" s="165"/>
      <c r="J92" s="165"/>
      <c r="K92" s="165"/>
      <c r="L92" s="165"/>
    </row>
    <row r="93" spans="2:13">
      <c r="B93" s="287"/>
      <c r="C93" s="165"/>
      <c r="D93" s="165"/>
      <c r="E93" s="165"/>
      <c r="F93" s="165"/>
      <c r="G93" s="165"/>
      <c r="H93" s="165"/>
      <c r="I93" s="165"/>
      <c r="J93" s="165"/>
      <c r="K93" s="165"/>
      <c r="L93" s="165"/>
    </row>
    <row r="94" spans="2:13">
      <c r="B94" s="287"/>
      <c r="C94" s="165"/>
      <c r="D94" s="165"/>
      <c r="E94" s="165"/>
      <c r="F94" s="165"/>
      <c r="G94" s="165"/>
      <c r="H94" s="165"/>
      <c r="I94" s="165"/>
      <c r="J94" s="165"/>
      <c r="K94" s="165"/>
      <c r="L94" s="165"/>
    </row>
    <row r="95" spans="2:13">
      <c r="B95" s="287"/>
      <c r="C95" s="165"/>
      <c r="D95" s="165"/>
      <c r="E95" s="165"/>
      <c r="F95" s="165"/>
      <c r="G95" s="165"/>
      <c r="H95" s="165"/>
      <c r="I95" s="165"/>
      <c r="J95" s="165"/>
      <c r="K95" s="165"/>
      <c r="L95" s="165"/>
    </row>
    <row r="96" spans="2:13">
      <c r="B96" s="287"/>
      <c r="C96" s="165"/>
      <c r="D96" s="165"/>
      <c r="E96" s="165"/>
      <c r="F96" s="165"/>
      <c r="G96" s="165"/>
      <c r="H96" s="165"/>
      <c r="I96" s="165"/>
      <c r="J96" s="165"/>
      <c r="K96" s="165"/>
      <c r="L96" s="165"/>
    </row>
    <row r="97" spans="2:12">
      <c r="B97" s="287"/>
      <c r="C97" s="165"/>
      <c r="D97" s="165"/>
      <c r="E97" s="165"/>
      <c r="F97" s="165"/>
      <c r="G97" s="165"/>
      <c r="H97" s="165"/>
      <c r="I97" s="165"/>
      <c r="J97" s="165"/>
      <c r="K97" s="165"/>
      <c r="L97" s="165"/>
    </row>
    <row r="98" spans="2:12">
      <c r="B98" s="287"/>
      <c r="C98" s="165"/>
      <c r="D98" s="165"/>
      <c r="E98" s="165"/>
      <c r="F98" s="165"/>
      <c r="G98" s="165"/>
      <c r="H98" s="165"/>
      <c r="I98" s="165"/>
      <c r="J98" s="165"/>
      <c r="K98" s="165"/>
      <c r="L98" s="165"/>
    </row>
    <row r="99" spans="2:12">
      <c r="B99" s="287"/>
      <c r="C99" s="165"/>
      <c r="D99" s="165"/>
      <c r="E99" s="165"/>
      <c r="F99" s="165"/>
      <c r="G99" s="165"/>
      <c r="H99" s="165"/>
      <c r="I99" s="165"/>
      <c r="J99" s="165"/>
      <c r="K99" s="165"/>
      <c r="L99" s="165"/>
    </row>
    <row r="100" spans="2:12">
      <c r="C100" s="165"/>
      <c r="D100" s="165"/>
      <c r="E100" s="165"/>
      <c r="F100" s="165"/>
      <c r="G100" s="165"/>
      <c r="H100" s="165"/>
      <c r="I100" s="165"/>
      <c r="J100" s="165"/>
      <c r="K100" s="165"/>
      <c r="L100" s="165"/>
    </row>
    <row r="101" spans="2:12">
      <c r="C101" s="165"/>
      <c r="D101" s="165"/>
      <c r="E101" s="165"/>
      <c r="F101" s="165"/>
      <c r="G101" s="165"/>
      <c r="H101" s="165"/>
      <c r="I101" s="165"/>
      <c r="J101" s="165"/>
      <c r="K101" s="165"/>
      <c r="L101" s="165"/>
    </row>
    <row r="102" spans="2:12">
      <c r="C102" s="165"/>
      <c r="D102" s="165"/>
      <c r="E102" s="165"/>
      <c r="F102" s="165"/>
      <c r="G102" s="165"/>
      <c r="H102" s="165"/>
      <c r="I102" s="165"/>
      <c r="J102" s="165"/>
      <c r="K102" s="165"/>
      <c r="L102" s="165"/>
    </row>
    <row r="103" spans="2:12">
      <c r="C103" s="165"/>
      <c r="D103" s="165"/>
      <c r="E103" s="165"/>
      <c r="F103" s="165"/>
      <c r="G103" s="165"/>
      <c r="H103" s="165"/>
      <c r="I103" s="165"/>
      <c r="J103" s="165"/>
      <c r="K103" s="165"/>
      <c r="L103" s="165"/>
    </row>
    <row r="104" spans="2:12">
      <c r="C104" s="165"/>
      <c r="D104" s="165"/>
      <c r="E104" s="165"/>
      <c r="F104" s="165"/>
      <c r="G104" s="165"/>
      <c r="H104" s="165"/>
      <c r="I104" s="165"/>
      <c r="J104" s="165"/>
      <c r="K104" s="165"/>
      <c r="L104" s="165"/>
    </row>
    <row r="105" spans="2:12">
      <c r="C105" s="165"/>
      <c r="D105" s="165"/>
      <c r="E105" s="165"/>
      <c r="F105" s="165"/>
      <c r="G105" s="165"/>
      <c r="H105" s="165"/>
      <c r="I105" s="165"/>
      <c r="J105" s="165"/>
      <c r="K105" s="165"/>
      <c r="L105" s="165"/>
    </row>
    <row r="106" spans="2:12">
      <c r="C106" s="165"/>
      <c r="D106" s="165"/>
      <c r="E106" s="165"/>
      <c r="F106" s="165"/>
      <c r="G106" s="165"/>
      <c r="H106" s="165"/>
      <c r="I106" s="165"/>
      <c r="J106" s="165"/>
      <c r="K106" s="165"/>
      <c r="L106" s="165"/>
    </row>
    <row r="107" spans="2:12">
      <c r="C107" s="165"/>
      <c r="D107" s="165"/>
      <c r="E107" s="165"/>
      <c r="F107" s="165"/>
      <c r="G107" s="165"/>
      <c r="H107" s="165"/>
      <c r="I107" s="165"/>
      <c r="J107" s="165"/>
      <c r="K107" s="165"/>
      <c r="L107" s="165"/>
    </row>
    <row r="108" spans="2:12">
      <c r="C108" s="165"/>
      <c r="D108" s="165"/>
      <c r="E108" s="165"/>
      <c r="F108" s="165"/>
      <c r="G108" s="165"/>
      <c r="H108" s="165"/>
      <c r="I108" s="165"/>
      <c r="J108" s="165"/>
      <c r="K108" s="165"/>
      <c r="L108" s="165"/>
    </row>
    <row r="109" spans="2:12">
      <c r="C109" s="165"/>
      <c r="D109" s="165"/>
      <c r="E109" s="165"/>
      <c r="F109" s="165"/>
      <c r="G109" s="165"/>
      <c r="H109" s="165"/>
      <c r="I109" s="165"/>
      <c r="J109" s="165"/>
      <c r="K109" s="165"/>
      <c r="L109" s="165"/>
    </row>
    <row r="110" spans="2:12">
      <c r="C110" s="165"/>
      <c r="D110" s="165"/>
      <c r="E110" s="165"/>
      <c r="F110" s="165"/>
      <c r="G110" s="165"/>
      <c r="H110" s="165"/>
      <c r="I110" s="165"/>
      <c r="J110" s="165"/>
      <c r="K110" s="165"/>
      <c r="L110" s="165"/>
    </row>
    <row r="111" spans="2:12">
      <c r="C111" s="165"/>
      <c r="D111" s="165"/>
      <c r="E111" s="165"/>
      <c r="F111" s="165"/>
      <c r="G111" s="165"/>
      <c r="H111" s="165"/>
      <c r="I111" s="165"/>
      <c r="J111" s="165"/>
      <c r="K111" s="165"/>
      <c r="L111" s="165"/>
    </row>
    <row r="112" spans="2:12">
      <c r="C112" s="165"/>
      <c r="D112" s="165"/>
      <c r="E112" s="165"/>
      <c r="F112" s="165"/>
      <c r="G112" s="165"/>
      <c r="H112" s="165"/>
      <c r="I112" s="165"/>
      <c r="J112" s="165"/>
      <c r="K112" s="165"/>
      <c r="L112" s="165"/>
    </row>
    <row r="113" spans="3:12">
      <c r="C113" s="165"/>
      <c r="D113" s="165"/>
      <c r="E113" s="165"/>
      <c r="F113" s="165"/>
      <c r="G113" s="165"/>
      <c r="H113" s="165"/>
      <c r="I113" s="165"/>
      <c r="J113" s="165"/>
      <c r="K113" s="165"/>
      <c r="L113" s="165"/>
    </row>
    <row r="114" spans="3:12">
      <c r="C114" s="165"/>
      <c r="D114" s="165"/>
      <c r="E114" s="165"/>
      <c r="F114" s="165"/>
      <c r="G114" s="165"/>
      <c r="H114" s="165"/>
      <c r="I114" s="165"/>
      <c r="J114" s="165"/>
      <c r="K114" s="165"/>
      <c r="L114" s="165"/>
    </row>
    <row r="115" spans="3:12">
      <c r="C115" s="165"/>
      <c r="D115" s="165"/>
      <c r="E115" s="165"/>
      <c r="F115" s="165"/>
      <c r="G115" s="165"/>
      <c r="H115" s="165"/>
      <c r="I115" s="165"/>
      <c r="J115" s="165"/>
      <c r="K115" s="165"/>
      <c r="L115" s="165"/>
    </row>
    <row r="116" spans="3:12">
      <c r="C116" s="165"/>
      <c r="D116" s="165"/>
      <c r="E116" s="165"/>
      <c r="F116" s="165"/>
      <c r="G116" s="165"/>
      <c r="H116" s="165"/>
      <c r="I116" s="165"/>
      <c r="J116" s="165"/>
      <c r="K116" s="165"/>
      <c r="L116" s="165"/>
    </row>
    <row r="117" spans="3:12">
      <c r="C117" s="165"/>
      <c r="D117" s="165"/>
      <c r="E117" s="165"/>
      <c r="F117" s="165"/>
      <c r="G117" s="165"/>
      <c r="H117" s="165"/>
      <c r="I117" s="165"/>
      <c r="J117" s="165"/>
      <c r="K117" s="165"/>
      <c r="L117" s="165"/>
    </row>
    <row r="118" spans="3:12">
      <c r="C118" s="165"/>
      <c r="D118" s="165"/>
      <c r="E118" s="165"/>
      <c r="F118" s="165"/>
      <c r="G118" s="165"/>
      <c r="H118" s="165"/>
      <c r="I118" s="165"/>
      <c r="J118" s="165"/>
      <c r="K118" s="165"/>
      <c r="L118" s="165"/>
    </row>
    <row r="119" spans="3:12">
      <c r="C119" s="165"/>
      <c r="D119" s="165"/>
      <c r="E119" s="165"/>
      <c r="F119" s="165"/>
      <c r="G119" s="165"/>
      <c r="H119" s="165"/>
      <c r="I119" s="165"/>
      <c r="J119" s="165"/>
      <c r="K119" s="165"/>
      <c r="L119" s="165"/>
    </row>
    <row r="120" spans="3:12">
      <c r="C120" s="165"/>
      <c r="D120" s="165"/>
      <c r="E120" s="165"/>
      <c r="F120" s="165"/>
      <c r="G120" s="165"/>
      <c r="H120" s="165"/>
      <c r="I120" s="165"/>
      <c r="J120" s="165"/>
      <c r="K120" s="165"/>
      <c r="L120" s="165"/>
    </row>
    <row r="121" spans="3:12">
      <c r="C121" s="165"/>
      <c r="D121" s="165"/>
      <c r="E121" s="165"/>
      <c r="F121" s="165"/>
      <c r="G121" s="165"/>
      <c r="H121" s="165"/>
      <c r="I121" s="165"/>
      <c r="J121" s="165"/>
      <c r="K121" s="165"/>
      <c r="L121" s="165"/>
    </row>
    <row r="122" spans="3:12">
      <c r="C122" s="165"/>
      <c r="D122" s="165"/>
      <c r="E122" s="165"/>
      <c r="F122" s="165"/>
      <c r="G122" s="165"/>
      <c r="H122" s="165"/>
      <c r="I122" s="165"/>
      <c r="J122" s="165"/>
      <c r="K122" s="165"/>
      <c r="L122" s="165"/>
    </row>
    <row r="123" spans="3:12">
      <c r="C123" s="165"/>
      <c r="D123" s="165"/>
      <c r="E123" s="165"/>
      <c r="F123" s="165"/>
      <c r="G123" s="165"/>
      <c r="H123" s="165"/>
      <c r="I123" s="165"/>
      <c r="J123" s="165"/>
      <c r="K123" s="165"/>
      <c r="L123" s="165"/>
    </row>
    <row r="124" spans="3:12">
      <c r="C124" s="165"/>
      <c r="D124" s="165"/>
      <c r="E124" s="165"/>
      <c r="F124" s="165"/>
      <c r="G124" s="165"/>
      <c r="H124" s="165"/>
      <c r="I124" s="165"/>
      <c r="J124" s="165"/>
      <c r="K124" s="165"/>
      <c r="L124" s="165"/>
    </row>
    <row r="125" spans="3:12">
      <c r="C125" s="165"/>
      <c r="D125" s="165"/>
      <c r="E125" s="165"/>
      <c r="F125" s="165"/>
      <c r="G125" s="165"/>
      <c r="H125" s="165"/>
      <c r="I125" s="165"/>
      <c r="J125" s="165"/>
      <c r="K125" s="165"/>
      <c r="L125" s="165"/>
    </row>
    <row r="126" spans="3:12">
      <c r="C126" s="165"/>
      <c r="D126" s="165"/>
      <c r="E126" s="165"/>
      <c r="F126" s="165"/>
      <c r="G126" s="165"/>
      <c r="H126" s="165"/>
      <c r="I126" s="165"/>
      <c r="J126" s="165"/>
      <c r="K126" s="165"/>
      <c r="L126" s="165"/>
    </row>
    <row r="127" spans="3:12">
      <c r="C127" s="165"/>
      <c r="D127" s="165"/>
      <c r="E127" s="165"/>
      <c r="F127" s="165"/>
      <c r="G127" s="165"/>
      <c r="H127" s="165"/>
      <c r="I127" s="165"/>
      <c r="J127" s="165"/>
      <c r="K127" s="165"/>
      <c r="L127" s="165"/>
    </row>
    <row r="128" spans="3:12">
      <c r="C128" s="165"/>
      <c r="D128" s="165"/>
      <c r="E128" s="165"/>
      <c r="F128" s="165"/>
      <c r="G128" s="165"/>
      <c r="H128" s="165"/>
      <c r="I128" s="165"/>
      <c r="J128" s="165"/>
      <c r="K128" s="165"/>
      <c r="L128" s="165"/>
    </row>
    <row r="129" spans="3:12">
      <c r="C129" s="165"/>
      <c r="D129" s="165"/>
      <c r="E129" s="165"/>
      <c r="F129" s="165"/>
      <c r="G129" s="165"/>
      <c r="H129" s="165"/>
      <c r="I129" s="165"/>
      <c r="J129" s="165"/>
      <c r="K129" s="165"/>
      <c r="L129" s="165"/>
    </row>
    <row r="130" spans="3:12">
      <c r="C130" s="165"/>
      <c r="D130" s="165"/>
      <c r="E130" s="165"/>
      <c r="F130" s="165"/>
      <c r="G130" s="165"/>
      <c r="H130" s="165"/>
      <c r="I130" s="165"/>
      <c r="J130" s="165"/>
      <c r="K130" s="165"/>
      <c r="L130" s="165"/>
    </row>
    <row r="131" spans="3:12">
      <c r="C131" s="165"/>
      <c r="D131" s="165"/>
      <c r="E131" s="165"/>
      <c r="F131" s="165"/>
      <c r="G131" s="165"/>
      <c r="H131" s="165"/>
      <c r="I131" s="165"/>
      <c r="J131" s="165"/>
      <c r="K131" s="165"/>
      <c r="L131" s="165"/>
    </row>
    <row r="132" spans="3:12">
      <c r="C132" s="165"/>
      <c r="D132" s="165"/>
      <c r="E132" s="165"/>
      <c r="F132" s="165"/>
      <c r="G132" s="165"/>
      <c r="H132" s="165"/>
      <c r="I132" s="165"/>
      <c r="J132" s="165"/>
      <c r="K132" s="165"/>
      <c r="L132" s="165"/>
    </row>
    <row r="133" spans="3:12">
      <c r="C133" s="165"/>
      <c r="D133" s="165"/>
      <c r="E133" s="165"/>
      <c r="F133" s="165"/>
      <c r="G133" s="165"/>
      <c r="H133" s="165"/>
      <c r="I133" s="165"/>
      <c r="J133" s="165"/>
      <c r="K133" s="165"/>
      <c r="L133" s="165"/>
    </row>
    <row r="134" spans="3:12">
      <c r="C134" s="165"/>
      <c r="D134" s="165"/>
      <c r="E134" s="165"/>
      <c r="F134" s="165"/>
      <c r="G134" s="165"/>
      <c r="H134" s="165"/>
      <c r="I134" s="165"/>
      <c r="J134" s="165"/>
      <c r="K134" s="165"/>
      <c r="L134" s="165"/>
    </row>
    <row r="135" spans="3:12">
      <c r="C135" s="165"/>
      <c r="D135" s="165"/>
      <c r="E135" s="165"/>
      <c r="F135" s="165"/>
      <c r="G135" s="165"/>
      <c r="H135" s="165"/>
      <c r="I135" s="165"/>
      <c r="J135" s="165"/>
      <c r="K135" s="165"/>
      <c r="L135" s="165"/>
    </row>
    <row r="136" spans="3:12">
      <c r="C136" s="165"/>
      <c r="D136" s="165"/>
      <c r="E136" s="165"/>
      <c r="F136" s="165"/>
      <c r="G136" s="165"/>
      <c r="H136" s="165"/>
      <c r="I136" s="165"/>
      <c r="J136" s="165"/>
      <c r="K136" s="165"/>
      <c r="L136" s="165"/>
    </row>
    <row r="137" spans="3:12">
      <c r="C137" s="165"/>
      <c r="D137" s="165"/>
      <c r="E137" s="165"/>
      <c r="F137" s="165"/>
      <c r="G137" s="165"/>
      <c r="H137" s="165"/>
      <c r="I137" s="165"/>
      <c r="J137" s="165"/>
      <c r="K137" s="165"/>
      <c r="L137" s="165"/>
    </row>
    <row r="138" spans="3:12">
      <c r="C138" s="165"/>
      <c r="D138" s="165"/>
      <c r="E138" s="165"/>
      <c r="F138" s="165"/>
      <c r="G138" s="165"/>
      <c r="H138" s="165"/>
      <c r="I138" s="165"/>
      <c r="J138" s="165"/>
      <c r="K138" s="165"/>
      <c r="L138" s="165"/>
    </row>
    <row r="139" spans="3:12">
      <c r="C139" s="165"/>
      <c r="D139" s="165"/>
      <c r="E139" s="165"/>
      <c r="F139" s="165"/>
      <c r="G139" s="165"/>
      <c r="H139" s="165"/>
      <c r="I139" s="165"/>
      <c r="J139" s="165"/>
      <c r="K139" s="165"/>
      <c r="L139" s="165"/>
    </row>
    <row r="140" spans="3:12">
      <c r="C140" s="165"/>
      <c r="D140" s="165"/>
      <c r="E140" s="165"/>
      <c r="F140" s="165"/>
      <c r="G140" s="165"/>
      <c r="H140" s="165"/>
      <c r="I140" s="165"/>
      <c r="J140" s="165"/>
      <c r="K140" s="165"/>
      <c r="L140" s="165"/>
    </row>
    <row r="141" spans="3:12">
      <c r="C141" s="165"/>
      <c r="D141" s="165"/>
      <c r="E141" s="165"/>
      <c r="F141" s="165"/>
      <c r="G141" s="165"/>
      <c r="H141" s="165"/>
      <c r="I141" s="165"/>
      <c r="J141" s="165"/>
      <c r="K141" s="165"/>
      <c r="L141" s="165"/>
    </row>
    <row r="142" spans="3:12">
      <c r="C142" s="165"/>
      <c r="D142" s="165"/>
      <c r="E142" s="165"/>
      <c r="F142" s="165"/>
      <c r="G142" s="165"/>
      <c r="H142" s="165"/>
      <c r="I142" s="165"/>
      <c r="J142" s="165"/>
      <c r="K142" s="165"/>
      <c r="L142" s="165"/>
    </row>
    <row r="143" spans="3:12">
      <c r="C143" s="165"/>
      <c r="D143" s="165"/>
      <c r="E143" s="165"/>
      <c r="F143" s="165"/>
      <c r="G143" s="165"/>
      <c r="H143" s="165"/>
      <c r="I143" s="165"/>
      <c r="J143" s="165"/>
      <c r="K143" s="165"/>
      <c r="L143" s="165"/>
    </row>
    <row r="144" spans="3:12">
      <c r="C144" s="165"/>
      <c r="D144" s="165"/>
      <c r="E144" s="165"/>
      <c r="F144" s="165"/>
      <c r="G144" s="165"/>
      <c r="H144" s="165"/>
      <c r="I144" s="165"/>
      <c r="J144" s="165"/>
      <c r="K144" s="165"/>
      <c r="L144" s="165"/>
    </row>
    <row r="145" spans="3:12">
      <c r="C145" s="165"/>
      <c r="D145" s="165"/>
      <c r="E145" s="165"/>
      <c r="F145" s="165"/>
      <c r="G145" s="165"/>
      <c r="H145" s="165"/>
      <c r="I145" s="165"/>
      <c r="J145" s="165"/>
      <c r="K145" s="165"/>
      <c r="L145" s="165"/>
    </row>
    <row r="146" spans="3:12">
      <c r="C146" s="165"/>
      <c r="D146" s="165"/>
      <c r="E146" s="165"/>
      <c r="F146" s="165"/>
      <c r="G146" s="165"/>
      <c r="H146" s="165"/>
      <c r="I146" s="165"/>
      <c r="J146" s="165"/>
      <c r="K146" s="165"/>
      <c r="L146" s="165"/>
    </row>
    <row r="147" spans="3:12">
      <c r="C147" s="165"/>
      <c r="D147" s="165"/>
      <c r="E147" s="165"/>
      <c r="F147" s="165"/>
      <c r="G147" s="165"/>
      <c r="H147" s="165"/>
      <c r="I147" s="165"/>
      <c r="J147" s="165"/>
      <c r="K147" s="165"/>
      <c r="L147" s="165"/>
    </row>
    <row r="148" spans="3:12">
      <c r="C148" s="165"/>
      <c r="D148" s="165"/>
      <c r="E148" s="165"/>
      <c r="F148" s="165"/>
      <c r="G148" s="165"/>
      <c r="H148" s="165"/>
      <c r="I148" s="165"/>
      <c r="J148" s="165"/>
      <c r="K148" s="165"/>
      <c r="L148" s="165"/>
    </row>
    <row r="149" spans="3:12">
      <c r="C149" s="165"/>
      <c r="D149" s="165"/>
      <c r="E149" s="165"/>
      <c r="F149" s="165"/>
      <c r="G149" s="165"/>
      <c r="H149" s="165"/>
      <c r="I149" s="165"/>
      <c r="J149" s="165"/>
      <c r="K149" s="165"/>
      <c r="L149" s="165"/>
    </row>
    <row r="150" spans="3:12">
      <c r="C150" s="165"/>
      <c r="D150" s="165"/>
      <c r="E150" s="165"/>
      <c r="F150" s="165"/>
      <c r="G150" s="165"/>
      <c r="H150" s="165"/>
      <c r="I150" s="165"/>
      <c r="J150" s="165"/>
      <c r="K150" s="165"/>
      <c r="L150" s="165"/>
    </row>
    <row r="151" spans="3:12">
      <c r="C151" s="165"/>
      <c r="D151" s="165"/>
      <c r="E151" s="165"/>
      <c r="F151" s="165"/>
      <c r="G151" s="165"/>
      <c r="H151" s="165"/>
      <c r="I151" s="165"/>
      <c r="J151" s="165"/>
      <c r="K151" s="165"/>
      <c r="L151" s="165"/>
    </row>
    <row r="152" spans="3:12">
      <c r="C152" s="165"/>
      <c r="D152" s="165"/>
      <c r="E152" s="165"/>
      <c r="F152" s="165"/>
      <c r="G152" s="165"/>
      <c r="H152" s="165"/>
      <c r="I152" s="165"/>
      <c r="J152" s="165"/>
      <c r="K152" s="165"/>
      <c r="L152" s="165"/>
    </row>
    <row r="153" spans="3:12">
      <c r="C153" s="165"/>
      <c r="D153" s="165"/>
      <c r="E153" s="165"/>
      <c r="F153" s="165"/>
      <c r="G153" s="165"/>
      <c r="H153" s="165"/>
      <c r="I153" s="165"/>
      <c r="J153" s="165"/>
      <c r="K153" s="165"/>
      <c r="L153" s="165"/>
    </row>
    <row r="154" spans="3:12">
      <c r="C154" s="165"/>
      <c r="D154" s="165"/>
      <c r="E154" s="165"/>
      <c r="F154" s="165"/>
      <c r="G154" s="165"/>
      <c r="H154" s="165"/>
      <c r="I154" s="165"/>
      <c r="J154" s="165"/>
      <c r="K154" s="165"/>
      <c r="L154" s="165"/>
    </row>
    <row r="155" spans="3:12">
      <c r="C155" s="165"/>
      <c r="D155" s="165"/>
      <c r="E155" s="165"/>
      <c r="F155" s="165"/>
      <c r="G155" s="165"/>
      <c r="H155" s="165"/>
      <c r="I155" s="165"/>
      <c r="J155" s="165"/>
      <c r="K155" s="165"/>
      <c r="L155" s="165"/>
    </row>
    <row r="156" spans="3:12">
      <c r="C156" s="165"/>
      <c r="D156" s="165"/>
      <c r="E156" s="165"/>
      <c r="F156" s="165"/>
      <c r="G156" s="165"/>
      <c r="H156" s="165"/>
      <c r="I156" s="165"/>
      <c r="J156" s="165"/>
      <c r="K156" s="165"/>
      <c r="L156" s="165"/>
    </row>
    <row r="157" spans="3:12">
      <c r="C157" s="165"/>
      <c r="D157" s="165"/>
      <c r="E157" s="165"/>
      <c r="F157" s="165"/>
      <c r="G157" s="165"/>
      <c r="H157" s="165"/>
      <c r="I157" s="165"/>
      <c r="J157" s="165"/>
      <c r="K157" s="165"/>
      <c r="L157" s="165"/>
    </row>
    <row r="158" spans="3:12">
      <c r="C158" s="165"/>
      <c r="D158" s="165"/>
      <c r="E158" s="165"/>
      <c r="F158" s="165"/>
      <c r="G158" s="165"/>
      <c r="H158" s="165"/>
      <c r="I158" s="165"/>
      <c r="J158" s="165"/>
      <c r="K158" s="165"/>
      <c r="L158" s="165"/>
    </row>
    <row r="159" spans="3:12">
      <c r="C159" s="165"/>
      <c r="D159" s="165"/>
      <c r="E159" s="165"/>
      <c r="F159" s="165"/>
      <c r="G159" s="165"/>
      <c r="H159" s="165"/>
      <c r="I159" s="165"/>
      <c r="J159" s="165"/>
      <c r="K159" s="165"/>
      <c r="L159" s="165"/>
    </row>
    <row r="160" spans="3:12">
      <c r="C160" s="165"/>
      <c r="D160" s="165"/>
      <c r="E160" s="165"/>
      <c r="F160" s="165"/>
      <c r="G160" s="165"/>
      <c r="H160" s="165"/>
      <c r="I160" s="165"/>
      <c r="J160" s="165"/>
      <c r="K160" s="165"/>
      <c r="L160" s="165"/>
    </row>
    <row r="161" spans="3:12">
      <c r="C161" s="165"/>
      <c r="D161" s="165"/>
      <c r="E161" s="165"/>
      <c r="F161" s="165"/>
      <c r="G161" s="165"/>
      <c r="H161" s="165"/>
      <c r="I161" s="165"/>
      <c r="J161" s="165"/>
      <c r="K161" s="165"/>
      <c r="L161" s="165"/>
    </row>
    <row r="162" spans="3:12">
      <c r="C162" s="165"/>
      <c r="D162" s="165"/>
      <c r="E162" s="165"/>
      <c r="F162" s="165"/>
      <c r="G162" s="165"/>
      <c r="H162" s="165"/>
      <c r="I162" s="165"/>
      <c r="J162" s="165"/>
      <c r="K162" s="165"/>
      <c r="L162" s="165"/>
    </row>
    <row r="163" spans="3:12">
      <c r="C163" s="165"/>
      <c r="D163" s="165"/>
      <c r="E163" s="165"/>
      <c r="F163" s="165"/>
      <c r="G163" s="165"/>
      <c r="H163" s="165"/>
      <c r="I163" s="165"/>
      <c r="J163" s="165"/>
      <c r="K163" s="165"/>
      <c r="L163" s="165"/>
    </row>
    <row r="164" spans="3:12">
      <c r="C164" s="165"/>
      <c r="D164" s="165"/>
      <c r="E164" s="165"/>
      <c r="F164" s="165"/>
      <c r="G164" s="165"/>
      <c r="H164" s="165"/>
      <c r="I164" s="165"/>
      <c r="J164" s="165"/>
      <c r="K164" s="165"/>
      <c r="L164" s="165"/>
    </row>
    <row r="165" spans="3:12">
      <c r="C165" s="165"/>
      <c r="D165" s="165"/>
      <c r="E165" s="165"/>
      <c r="F165" s="165"/>
      <c r="G165" s="165"/>
      <c r="H165" s="165"/>
      <c r="I165" s="165"/>
      <c r="J165" s="165"/>
      <c r="K165" s="165"/>
      <c r="L165" s="165"/>
    </row>
    <row r="166" spans="3:12">
      <c r="C166" s="165"/>
      <c r="D166" s="165"/>
      <c r="E166" s="165"/>
      <c r="F166" s="165"/>
      <c r="G166" s="165"/>
      <c r="H166" s="165"/>
      <c r="I166" s="165"/>
      <c r="J166" s="165"/>
      <c r="K166" s="165"/>
      <c r="L166" s="165"/>
    </row>
    <row r="167" spans="3:12">
      <c r="C167" s="165"/>
      <c r="D167" s="165"/>
      <c r="E167" s="165"/>
      <c r="F167" s="165"/>
      <c r="G167" s="165"/>
      <c r="H167" s="165"/>
      <c r="I167" s="165"/>
      <c r="J167" s="165"/>
      <c r="K167" s="165"/>
      <c r="L167" s="165"/>
    </row>
    <row r="168" spans="3:12">
      <c r="C168" s="165"/>
      <c r="D168" s="165"/>
      <c r="E168" s="165"/>
      <c r="F168" s="165"/>
      <c r="G168" s="165"/>
      <c r="H168" s="165"/>
      <c r="I168" s="165"/>
      <c r="J168" s="165"/>
      <c r="K168" s="165"/>
      <c r="L168" s="165"/>
    </row>
    <row r="169" spans="3:12">
      <c r="C169" s="165"/>
      <c r="D169" s="165"/>
      <c r="E169" s="165"/>
      <c r="F169" s="165"/>
      <c r="G169" s="165"/>
      <c r="H169" s="165"/>
      <c r="I169" s="165"/>
      <c r="J169" s="165"/>
      <c r="K169" s="165"/>
      <c r="L169" s="165"/>
    </row>
    <row r="170" spans="3:12">
      <c r="C170" s="165"/>
      <c r="D170" s="165"/>
      <c r="E170" s="165"/>
      <c r="F170" s="165"/>
      <c r="G170" s="165"/>
      <c r="H170" s="165"/>
      <c r="I170" s="165"/>
      <c r="J170" s="165"/>
      <c r="K170" s="165"/>
      <c r="L170" s="165"/>
    </row>
    <row r="171" spans="3:12">
      <c r="C171" s="165"/>
      <c r="D171" s="165"/>
      <c r="E171" s="165"/>
      <c r="F171" s="165"/>
      <c r="G171" s="165"/>
      <c r="H171" s="165"/>
      <c r="I171" s="165"/>
      <c r="J171" s="165"/>
      <c r="K171" s="165"/>
      <c r="L171" s="165"/>
    </row>
    <row r="172" spans="3:12">
      <c r="C172" s="165"/>
      <c r="D172" s="165"/>
      <c r="E172" s="165"/>
      <c r="F172" s="165"/>
      <c r="G172" s="165"/>
      <c r="H172" s="165"/>
      <c r="I172" s="165"/>
      <c r="J172" s="165"/>
      <c r="K172" s="165"/>
      <c r="L172" s="165"/>
    </row>
    <row r="173" spans="3:12">
      <c r="C173" s="165"/>
      <c r="D173" s="165"/>
      <c r="E173" s="165"/>
      <c r="F173" s="165"/>
      <c r="G173" s="165"/>
      <c r="H173" s="165"/>
      <c r="I173" s="165"/>
      <c r="J173" s="165"/>
      <c r="K173" s="165"/>
      <c r="L173" s="165"/>
    </row>
    <row r="174" spans="3:12">
      <c r="C174" s="165"/>
      <c r="D174" s="165"/>
      <c r="E174" s="165"/>
      <c r="F174" s="165"/>
      <c r="G174" s="165"/>
      <c r="H174" s="165"/>
      <c r="I174" s="165"/>
      <c r="J174" s="165"/>
      <c r="K174" s="165"/>
      <c r="L174" s="165"/>
    </row>
    <row r="175" spans="3:12">
      <c r="C175" s="165"/>
      <c r="D175" s="165"/>
      <c r="E175" s="165"/>
      <c r="F175" s="165"/>
      <c r="G175" s="165"/>
      <c r="H175" s="165"/>
      <c r="I175" s="165"/>
      <c r="J175" s="165"/>
      <c r="K175" s="165"/>
      <c r="L175" s="165"/>
    </row>
    <row r="176" spans="3:12">
      <c r="C176" s="165"/>
      <c r="D176" s="165"/>
      <c r="E176" s="165"/>
      <c r="F176" s="165"/>
      <c r="G176" s="165"/>
      <c r="H176" s="165"/>
      <c r="I176" s="165"/>
      <c r="J176" s="165"/>
      <c r="K176" s="165"/>
      <c r="L176" s="165"/>
    </row>
    <row r="177" spans="3:12">
      <c r="C177" s="165"/>
      <c r="D177" s="165"/>
      <c r="E177" s="165"/>
      <c r="F177" s="165"/>
      <c r="G177" s="165"/>
      <c r="H177" s="165"/>
      <c r="I177" s="165"/>
      <c r="J177" s="165"/>
      <c r="K177" s="165"/>
      <c r="L177" s="165"/>
    </row>
    <row r="178" spans="3:12">
      <c r="C178" s="165"/>
      <c r="D178" s="165"/>
      <c r="E178" s="165"/>
      <c r="F178" s="165"/>
      <c r="G178" s="165"/>
      <c r="H178" s="165"/>
      <c r="I178" s="165"/>
      <c r="J178" s="165"/>
      <c r="K178" s="165"/>
      <c r="L178" s="165"/>
    </row>
    <row r="179" spans="3:12">
      <c r="C179" s="165"/>
      <c r="D179" s="165"/>
      <c r="E179" s="165"/>
      <c r="F179" s="165"/>
      <c r="G179" s="165"/>
      <c r="H179" s="165"/>
      <c r="I179" s="165"/>
      <c r="J179" s="165"/>
      <c r="K179" s="165"/>
      <c r="L179" s="165"/>
    </row>
    <row r="180" spans="3:12">
      <c r="C180" s="165"/>
      <c r="D180" s="165"/>
      <c r="E180" s="165"/>
      <c r="F180" s="165"/>
      <c r="G180" s="165"/>
      <c r="H180" s="165"/>
      <c r="I180" s="165"/>
      <c r="J180" s="165"/>
      <c r="K180" s="165"/>
      <c r="L180" s="165"/>
    </row>
    <row r="181" spans="3:12">
      <c r="C181" s="165"/>
      <c r="D181" s="165"/>
      <c r="E181" s="165"/>
      <c r="F181" s="165"/>
      <c r="G181" s="165"/>
      <c r="H181" s="165"/>
      <c r="I181" s="165"/>
      <c r="J181" s="165"/>
      <c r="K181" s="165"/>
      <c r="L181" s="165"/>
    </row>
    <row r="182" spans="3:12">
      <c r="C182" s="165"/>
      <c r="D182" s="165"/>
      <c r="E182" s="165"/>
      <c r="F182" s="165"/>
      <c r="G182" s="165"/>
      <c r="H182" s="165"/>
      <c r="I182" s="165"/>
      <c r="J182" s="165"/>
      <c r="K182" s="165"/>
      <c r="L182" s="165"/>
    </row>
    <row r="183" spans="3:12">
      <c r="C183" s="165"/>
      <c r="D183" s="165"/>
      <c r="E183" s="165"/>
      <c r="F183" s="165"/>
      <c r="G183" s="165"/>
      <c r="H183" s="165"/>
      <c r="I183" s="165"/>
      <c r="J183" s="165"/>
      <c r="K183" s="165"/>
      <c r="L183" s="165"/>
    </row>
    <row r="184" spans="3:12">
      <c r="C184" s="165"/>
      <c r="D184" s="165"/>
      <c r="E184" s="165"/>
      <c r="F184" s="165"/>
      <c r="G184" s="165"/>
      <c r="H184" s="165"/>
      <c r="I184" s="165"/>
      <c r="J184" s="165"/>
      <c r="K184" s="165"/>
      <c r="L184" s="165"/>
    </row>
    <row r="185" spans="3:12">
      <c r="C185" s="165"/>
      <c r="D185" s="165"/>
      <c r="E185" s="165"/>
      <c r="F185" s="165"/>
      <c r="G185" s="165"/>
      <c r="H185" s="165"/>
      <c r="I185" s="165"/>
      <c r="J185" s="165"/>
      <c r="K185" s="165"/>
      <c r="L185" s="165"/>
    </row>
    <row r="186" spans="3:12">
      <c r="C186" s="165"/>
      <c r="D186" s="165"/>
      <c r="E186" s="165"/>
      <c r="F186" s="165"/>
      <c r="G186" s="165"/>
      <c r="H186" s="165"/>
      <c r="I186" s="165"/>
      <c r="J186" s="165"/>
      <c r="K186" s="165"/>
      <c r="L186" s="165"/>
    </row>
    <row r="187" spans="3:12">
      <c r="C187" s="165"/>
      <c r="D187" s="165"/>
      <c r="E187" s="165"/>
      <c r="F187" s="165"/>
      <c r="G187" s="165"/>
      <c r="H187" s="165"/>
      <c r="I187" s="165"/>
      <c r="J187" s="165"/>
      <c r="K187" s="165"/>
      <c r="L187" s="165"/>
    </row>
    <row r="188" spans="3:12">
      <c r="C188" s="165"/>
      <c r="D188" s="165"/>
      <c r="E188" s="165"/>
      <c r="F188" s="165"/>
      <c r="G188" s="165"/>
      <c r="H188" s="165"/>
      <c r="I188" s="165"/>
      <c r="J188" s="165"/>
      <c r="K188" s="165"/>
      <c r="L188" s="165"/>
    </row>
    <row r="189" spans="3:12">
      <c r="C189" s="165"/>
      <c r="D189" s="165"/>
      <c r="E189" s="165"/>
      <c r="F189" s="165"/>
      <c r="G189" s="165"/>
      <c r="H189" s="165"/>
      <c r="I189" s="165"/>
      <c r="J189" s="165"/>
      <c r="K189" s="165"/>
      <c r="L189" s="165"/>
    </row>
    <row r="190" spans="3:12">
      <c r="C190" s="165"/>
      <c r="D190" s="165"/>
      <c r="E190" s="165"/>
      <c r="F190" s="165"/>
      <c r="G190" s="165"/>
      <c r="H190" s="165"/>
      <c r="I190" s="165"/>
      <c r="J190" s="165"/>
      <c r="K190" s="165"/>
      <c r="L190" s="165"/>
    </row>
    <row r="191" spans="3:12">
      <c r="C191" s="165"/>
      <c r="D191" s="165"/>
      <c r="E191" s="165"/>
      <c r="F191" s="165"/>
      <c r="G191" s="165"/>
      <c r="H191" s="165"/>
      <c r="I191" s="165"/>
      <c r="J191" s="165"/>
      <c r="K191" s="165"/>
      <c r="L191" s="165"/>
    </row>
    <row r="192" spans="3:12">
      <c r="C192" s="165"/>
      <c r="D192" s="165"/>
      <c r="E192" s="165"/>
      <c r="F192" s="165"/>
      <c r="G192" s="165"/>
      <c r="H192" s="165"/>
      <c r="I192" s="165"/>
      <c r="J192" s="165"/>
      <c r="K192" s="165"/>
      <c r="L192" s="165"/>
    </row>
    <row r="193" spans="3:12">
      <c r="C193" s="165"/>
      <c r="D193" s="165"/>
      <c r="E193" s="165"/>
      <c r="F193" s="165"/>
      <c r="G193" s="165"/>
      <c r="H193" s="165"/>
      <c r="I193" s="165"/>
      <c r="J193" s="165"/>
      <c r="K193" s="165"/>
      <c r="L193" s="165"/>
    </row>
    <row r="194" spans="3:12">
      <c r="C194" s="165"/>
      <c r="D194" s="165"/>
      <c r="E194" s="165"/>
      <c r="F194" s="165"/>
      <c r="G194" s="165"/>
      <c r="H194" s="165"/>
      <c r="I194" s="165"/>
      <c r="J194" s="165"/>
      <c r="K194" s="165"/>
      <c r="L194" s="165"/>
    </row>
    <row r="195" spans="3:12">
      <c r="C195" s="165"/>
      <c r="D195" s="165"/>
      <c r="E195" s="165"/>
      <c r="F195" s="165"/>
      <c r="G195" s="165"/>
      <c r="H195" s="165"/>
      <c r="I195" s="165"/>
      <c r="J195" s="165"/>
      <c r="K195" s="165"/>
      <c r="L195" s="165"/>
    </row>
    <row r="196" spans="3:12">
      <c r="C196" s="165"/>
      <c r="D196" s="165"/>
      <c r="E196" s="165"/>
      <c r="F196" s="165"/>
      <c r="G196" s="165"/>
      <c r="H196" s="165"/>
      <c r="I196" s="165"/>
      <c r="J196" s="165"/>
      <c r="K196" s="165"/>
      <c r="L196" s="165"/>
    </row>
    <row r="197" spans="3:12">
      <c r="C197" s="165"/>
      <c r="D197" s="165"/>
      <c r="E197" s="165"/>
      <c r="F197" s="165"/>
      <c r="G197" s="165"/>
      <c r="H197" s="165"/>
      <c r="I197" s="165"/>
      <c r="J197" s="165"/>
      <c r="K197" s="165"/>
      <c r="L197" s="165"/>
    </row>
    <row r="198" spans="3:12">
      <c r="C198" s="165"/>
      <c r="D198" s="165"/>
      <c r="E198" s="165"/>
      <c r="F198" s="165"/>
      <c r="G198" s="165"/>
      <c r="H198" s="165"/>
      <c r="I198" s="165"/>
      <c r="J198" s="165"/>
      <c r="K198" s="165"/>
      <c r="L198" s="165"/>
    </row>
    <row r="199" spans="3:12">
      <c r="C199" s="165"/>
      <c r="D199" s="165"/>
      <c r="E199" s="165"/>
      <c r="F199" s="165"/>
      <c r="G199" s="165"/>
      <c r="H199" s="165"/>
      <c r="I199" s="165"/>
      <c r="J199" s="165"/>
      <c r="K199" s="165"/>
      <c r="L199" s="165"/>
    </row>
    <row r="200" spans="3:12">
      <c r="C200" s="165"/>
      <c r="D200" s="165"/>
      <c r="E200" s="165"/>
      <c r="F200" s="165"/>
      <c r="G200" s="165"/>
      <c r="H200" s="165"/>
      <c r="I200" s="165"/>
      <c r="J200" s="165"/>
      <c r="K200" s="165"/>
      <c r="L200" s="165"/>
    </row>
    <row r="201" spans="3:12">
      <c r="C201" s="165"/>
      <c r="D201" s="165"/>
      <c r="E201" s="165"/>
      <c r="F201" s="165"/>
      <c r="G201" s="165"/>
      <c r="H201" s="165"/>
      <c r="I201" s="165"/>
      <c r="J201" s="165"/>
      <c r="K201" s="165"/>
      <c r="L201" s="165"/>
    </row>
    <row r="202" spans="3:12">
      <c r="C202" s="165"/>
      <c r="D202" s="165"/>
      <c r="E202" s="165"/>
      <c r="F202" s="165"/>
      <c r="G202" s="165"/>
      <c r="H202" s="165"/>
      <c r="I202" s="165"/>
      <c r="J202" s="165"/>
      <c r="K202" s="165"/>
      <c r="L202" s="165"/>
    </row>
    <row r="203" spans="3:12">
      <c r="C203" s="165"/>
      <c r="D203" s="165"/>
      <c r="E203" s="165"/>
      <c r="F203" s="165"/>
      <c r="G203" s="165"/>
      <c r="H203" s="165"/>
      <c r="I203" s="165"/>
      <c r="J203" s="165"/>
      <c r="K203" s="165"/>
      <c r="L203" s="165"/>
    </row>
    <row r="204" spans="3:12">
      <c r="C204" s="165"/>
      <c r="D204" s="165"/>
      <c r="E204" s="165"/>
      <c r="F204" s="165"/>
      <c r="G204" s="165"/>
      <c r="H204" s="165"/>
      <c r="I204" s="165"/>
      <c r="J204" s="165"/>
      <c r="K204" s="165"/>
      <c r="L204" s="165"/>
    </row>
    <row r="205" spans="3:12">
      <c r="C205" s="165"/>
      <c r="D205" s="165"/>
      <c r="E205" s="165"/>
      <c r="F205" s="165"/>
      <c r="G205" s="165"/>
      <c r="H205" s="165"/>
      <c r="I205" s="165"/>
      <c r="J205" s="165"/>
      <c r="K205" s="165"/>
      <c r="L205" s="165"/>
    </row>
    <row r="206" spans="3:12">
      <c r="C206" s="165"/>
      <c r="D206" s="165"/>
      <c r="E206" s="165"/>
      <c r="F206" s="165"/>
      <c r="G206" s="165"/>
      <c r="H206" s="165"/>
      <c r="I206" s="165"/>
      <c r="J206" s="165"/>
      <c r="K206" s="165"/>
      <c r="L206" s="165"/>
    </row>
    <row r="207" spans="3:12">
      <c r="C207" s="165"/>
      <c r="D207" s="165"/>
      <c r="E207" s="165"/>
      <c r="F207" s="165"/>
      <c r="G207" s="165"/>
      <c r="H207" s="165"/>
      <c r="I207" s="165"/>
      <c r="J207" s="165"/>
      <c r="K207" s="165"/>
      <c r="L207" s="165"/>
    </row>
    <row r="208" spans="3:12">
      <c r="C208" s="165"/>
      <c r="D208" s="165"/>
      <c r="E208" s="165"/>
      <c r="F208" s="165"/>
      <c r="G208" s="165"/>
      <c r="H208" s="165"/>
      <c r="I208" s="165"/>
      <c r="J208" s="165"/>
      <c r="K208" s="165"/>
      <c r="L208" s="165"/>
    </row>
    <row r="209" spans="3:12">
      <c r="C209" s="165"/>
      <c r="D209" s="165"/>
      <c r="E209" s="165"/>
      <c r="F209" s="165"/>
      <c r="G209" s="165"/>
      <c r="H209" s="165"/>
      <c r="I209" s="165"/>
      <c r="J209" s="165"/>
      <c r="K209" s="165"/>
      <c r="L209" s="165"/>
    </row>
    <row r="210" spans="3:12">
      <c r="C210" s="165"/>
      <c r="D210" s="165"/>
      <c r="E210" s="165"/>
      <c r="F210" s="165"/>
      <c r="G210" s="165"/>
      <c r="H210" s="165"/>
      <c r="I210" s="165"/>
      <c r="J210" s="165"/>
      <c r="K210" s="165"/>
      <c r="L210" s="165"/>
    </row>
    <row r="211" spans="3:12">
      <c r="C211" s="165"/>
      <c r="D211" s="165"/>
      <c r="E211" s="165"/>
      <c r="F211" s="165"/>
      <c r="G211" s="165"/>
      <c r="H211" s="165"/>
      <c r="I211" s="165"/>
      <c r="J211" s="165"/>
      <c r="K211" s="165"/>
      <c r="L211" s="165"/>
    </row>
    <row r="212" spans="3:12">
      <c r="C212" s="165"/>
      <c r="D212" s="165"/>
      <c r="E212" s="165"/>
      <c r="F212" s="165"/>
      <c r="G212" s="165"/>
      <c r="H212" s="165"/>
      <c r="I212" s="165"/>
      <c r="J212" s="165"/>
      <c r="K212" s="165"/>
      <c r="L212" s="165"/>
    </row>
    <row r="213" spans="3:12">
      <c r="C213" s="165"/>
      <c r="D213" s="165"/>
      <c r="E213" s="165"/>
      <c r="F213" s="165"/>
      <c r="G213" s="165"/>
      <c r="H213" s="165"/>
      <c r="I213" s="165"/>
      <c r="J213" s="165"/>
      <c r="K213" s="165"/>
      <c r="L213" s="165"/>
    </row>
    <row r="214" spans="3:12">
      <c r="C214" s="165"/>
      <c r="D214" s="165"/>
      <c r="E214" s="165"/>
      <c r="F214" s="165"/>
      <c r="G214" s="165"/>
      <c r="H214" s="165"/>
      <c r="I214" s="165"/>
      <c r="J214" s="165"/>
      <c r="K214" s="165"/>
      <c r="L214" s="165"/>
    </row>
    <row r="215" spans="3:12">
      <c r="C215" s="165"/>
      <c r="D215" s="165"/>
      <c r="E215" s="165"/>
      <c r="F215" s="165"/>
      <c r="G215" s="165"/>
      <c r="H215" s="165"/>
      <c r="I215" s="165"/>
      <c r="J215" s="165"/>
      <c r="K215" s="165"/>
      <c r="L215" s="165"/>
    </row>
    <row r="216" spans="3:12">
      <c r="C216" s="165"/>
      <c r="D216" s="165"/>
      <c r="E216" s="165"/>
      <c r="F216" s="165"/>
      <c r="G216" s="165"/>
      <c r="H216" s="165"/>
      <c r="I216" s="165"/>
      <c r="J216" s="165"/>
      <c r="K216" s="165"/>
      <c r="L216" s="165"/>
    </row>
    <row r="217" spans="3:12">
      <c r="C217" s="165"/>
      <c r="D217" s="165"/>
      <c r="E217" s="165"/>
      <c r="F217" s="165"/>
      <c r="G217" s="165"/>
      <c r="H217" s="165"/>
      <c r="I217" s="165"/>
      <c r="J217" s="165"/>
      <c r="K217" s="165"/>
      <c r="L217" s="165"/>
    </row>
    <row r="218" spans="3:12">
      <c r="C218" s="165"/>
      <c r="D218" s="165"/>
      <c r="E218" s="165"/>
      <c r="F218" s="165"/>
      <c r="G218" s="165"/>
      <c r="H218" s="165"/>
      <c r="I218" s="165"/>
      <c r="J218" s="165"/>
      <c r="K218" s="165"/>
      <c r="L218" s="165"/>
    </row>
    <row r="219" spans="3:12">
      <c r="C219" s="165"/>
      <c r="D219" s="165"/>
      <c r="E219" s="165"/>
      <c r="F219" s="165"/>
      <c r="G219" s="165"/>
      <c r="H219" s="165"/>
      <c r="I219" s="165"/>
      <c r="J219" s="165"/>
      <c r="K219" s="165"/>
      <c r="L219" s="165"/>
    </row>
    <row r="220" spans="3:12">
      <c r="C220" s="165"/>
      <c r="D220" s="165"/>
      <c r="E220" s="165"/>
      <c r="F220" s="165"/>
      <c r="G220" s="165"/>
      <c r="H220" s="165"/>
      <c r="I220" s="165"/>
      <c r="J220" s="165"/>
      <c r="K220" s="165"/>
      <c r="L220" s="165"/>
    </row>
    <row r="221" spans="3:12">
      <c r="C221" s="165"/>
      <c r="D221" s="165"/>
      <c r="E221" s="165"/>
      <c r="F221" s="165"/>
      <c r="G221" s="165"/>
      <c r="H221" s="165"/>
      <c r="I221" s="165"/>
      <c r="J221" s="165"/>
      <c r="K221" s="165"/>
      <c r="L221" s="165"/>
    </row>
    <row r="222" spans="3:12">
      <c r="C222" s="165"/>
      <c r="D222" s="165"/>
      <c r="E222" s="165"/>
      <c r="F222" s="165"/>
      <c r="G222" s="165"/>
      <c r="H222" s="165"/>
      <c r="I222" s="165"/>
      <c r="J222" s="165"/>
      <c r="K222" s="165"/>
      <c r="L222" s="165"/>
    </row>
    <row r="223" spans="3:12">
      <c r="C223" s="165"/>
      <c r="D223" s="165"/>
      <c r="E223" s="165"/>
      <c r="F223" s="165"/>
      <c r="G223" s="165"/>
      <c r="H223" s="165"/>
      <c r="I223" s="165"/>
      <c r="J223" s="165"/>
      <c r="K223" s="165"/>
      <c r="L223" s="165"/>
    </row>
    <row r="224" spans="3:12">
      <c r="C224" s="165"/>
      <c r="D224" s="165"/>
      <c r="E224" s="165"/>
      <c r="F224" s="165"/>
      <c r="G224" s="165"/>
      <c r="H224" s="165"/>
      <c r="I224" s="165"/>
      <c r="J224" s="165"/>
      <c r="K224" s="165"/>
      <c r="L224" s="165"/>
    </row>
    <row r="225" spans="3:12">
      <c r="C225" s="165"/>
      <c r="D225" s="165"/>
      <c r="E225" s="165"/>
      <c r="F225" s="165"/>
      <c r="G225" s="165"/>
      <c r="H225" s="165"/>
      <c r="I225" s="165"/>
      <c r="J225" s="165"/>
      <c r="K225" s="165"/>
      <c r="L225" s="165"/>
    </row>
    <row r="226" spans="3:12">
      <c r="C226" s="165"/>
      <c r="D226" s="165"/>
      <c r="E226" s="165"/>
      <c r="F226" s="165"/>
      <c r="G226" s="165"/>
      <c r="H226" s="165"/>
      <c r="I226" s="165"/>
      <c r="J226" s="165"/>
      <c r="K226" s="165"/>
      <c r="L226" s="165"/>
    </row>
    <row r="227" spans="3:12">
      <c r="C227" s="165"/>
      <c r="D227" s="165"/>
      <c r="E227" s="165"/>
      <c r="F227" s="165"/>
      <c r="G227" s="165"/>
      <c r="H227" s="165"/>
      <c r="I227" s="165"/>
      <c r="J227" s="165"/>
      <c r="K227" s="165"/>
      <c r="L227" s="165"/>
    </row>
    <row r="228" spans="3:12">
      <c r="C228" s="165"/>
      <c r="D228" s="165"/>
      <c r="E228" s="165"/>
      <c r="F228" s="165"/>
      <c r="G228" s="165"/>
      <c r="H228" s="165"/>
      <c r="I228" s="165"/>
      <c r="J228" s="165"/>
      <c r="K228" s="165"/>
      <c r="L228" s="165"/>
    </row>
    <row r="229" spans="3:12">
      <c r="C229" s="165"/>
      <c r="D229" s="165"/>
      <c r="E229" s="165"/>
      <c r="F229" s="165"/>
      <c r="G229" s="165"/>
      <c r="H229" s="165"/>
      <c r="I229" s="165"/>
      <c r="J229" s="165"/>
      <c r="K229" s="165"/>
      <c r="L229" s="165"/>
    </row>
    <row r="230" spans="3:12">
      <c r="C230" s="165"/>
      <c r="D230" s="165"/>
      <c r="E230" s="165"/>
      <c r="F230" s="165"/>
      <c r="G230" s="165"/>
      <c r="H230" s="165"/>
      <c r="I230" s="165"/>
      <c r="J230" s="165"/>
      <c r="K230" s="165"/>
      <c r="L230" s="165"/>
    </row>
    <row r="231" spans="3:12">
      <c r="C231" s="165"/>
      <c r="D231" s="165"/>
      <c r="E231" s="165"/>
      <c r="F231" s="165"/>
      <c r="G231" s="165"/>
      <c r="H231" s="165"/>
      <c r="I231" s="165"/>
      <c r="J231" s="165"/>
      <c r="K231" s="165"/>
      <c r="L231" s="165"/>
    </row>
    <row r="232" spans="3:12">
      <c r="C232" s="165"/>
      <c r="D232" s="165"/>
      <c r="E232" s="165"/>
      <c r="F232" s="165"/>
      <c r="G232" s="165"/>
      <c r="H232" s="165"/>
      <c r="I232" s="165"/>
      <c r="J232" s="165"/>
      <c r="K232" s="165"/>
      <c r="L232" s="165"/>
    </row>
    <row r="233" spans="3:12">
      <c r="C233" s="165"/>
      <c r="D233" s="165"/>
      <c r="E233" s="165"/>
      <c r="F233" s="165"/>
      <c r="G233" s="165"/>
      <c r="H233" s="165"/>
      <c r="I233" s="165"/>
      <c r="J233" s="165"/>
      <c r="K233" s="165"/>
      <c r="L233" s="165"/>
    </row>
    <row r="234" spans="3:12">
      <c r="C234" s="165"/>
      <c r="D234" s="165"/>
      <c r="E234" s="165"/>
      <c r="F234" s="165"/>
      <c r="G234" s="165"/>
      <c r="H234" s="165"/>
      <c r="I234" s="165"/>
      <c r="J234" s="165"/>
      <c r="K234" s="165"/>
      <c r="L234" s="165"/>
    </row>
    <row r="235" spans="3:12">
      <c r="C235" s="165"/>
      <c r="D235" s="165"/>
      <c r="E235" s="165"/>
      <c r="F235" s="165"/>
      <c r="G235" s="165"/>
      <c r="H235" s="165"/>
      <c r="I235" s="165"/>
      <c r="J235" s="165"/>
      <c r="K235" s="165"/>
      <c r="L235" s="165"/>
    </row>
    <row r="236" spans="3:12">
      <c r="C236" s="165"/>
      <c r="D236" s="165"/>
      <c r="E236" s="165"/>
      <c r="F236" s="165"/>
      <c r="G236" s="165"/>
      <c r="H236" s="165"/>
      <c r="I236" s="165"/>
      <c r="J236" s="165"/>
      <c r="K236" s="165"/>
      <c r="L236" s="165"/>
    </row>
    <row r="237" spans="3:12">
      <c r="C237" s="165"/>
      <c r="D237" s="165"/>
      <c r="E237" s="165"/>
      <c r="F237" s="165"/>
      <c r="G237" s="165"/>
      <c r="H237" s="165"/>
      <c r="I237" s="165"/>
      <c r="J237" s="165"/>
      <c r="K237" s="165"/>
      <c r="L237" s="165"/>
    </row>
    <row r="238" spans="3:12">
      <c r="C238" s="165"/>
      <c r="D238" s="165"/>
      <c r="E238" s="165"/>
      <c r="F238" s="165"/>
      <c r="G238" s="165"/>
      <c r="H238" s="165"/>
      <c r="I238" s="165"/>
      <c r="J238" s="165"/>
      <c r="K238" s="165"/>
      <c r="L238" s="165"/>
    </row>
    <row r="239" spans="3:12">
      <c r="C239" s="165"/>
      <c r="D239" s="165"/>
      <c r="E239" s="165"/>
      <c r="F239" s="165"/>
      <c r="G239" s="165"/>
      <c r="H239" s="165"/>
      <c r="I239" s="165"/>
      <c r="J239" s="165"/>
      <c r="K239" s="165"/>
      <c r="L239" s="165"/>
    </row>
    <row r="240" spans="3:12">
      <c r="C240" s="165"/>
      <c r="D240" s="165"/>
      <c r="E240" s="165"/>
      <c r="F240" s="165"/>
      <c r="G240" s="165"/>
      <c r="H240" s="165"/>
      <c r="I240" s="165"/>
      <c r="J240" s="165"/>
      <c r="K240" s="165"/>
      <c r="L240" s="165"/>
    </row>
    <row r="241" spans="3:12">
      <c r="C241" s="165"/>
      <c r="D241" s="165"/>
      <c r="E241" s="165"/>
      <c r="F241" s="165"/>
      <c r="G241" s="165"/>
      <c r="H241" s="165"/>
      <c r="I241" s="165"/>
      <c r="J241" s="165"/>
      <c r="K241" s="165"/>
      <c r="L241" s="165"/>
    </row>
    <row r="242" spans="3:12">
      <c r="C242" s="165"/>
      <c r="D242" s="165"/>
      <c r="E242" s="165"/>
      <c r="F242" s="165"/>
      <c r="G242" s="165"/>
      <c r="H242" s="165"/>
      <c r="I242" s="165"/>
      <c r="J242" s="165"/>
      <c r="K242" s="165"/>
      <c r="L242" s="165"/>
    </row>
    <row r="243" spans="3:12">
      <c r="C243" s="165"/>
      <c r="D243" s="165"/>
      <c r="E243" s="165"/>
      <c r="F243" s="165"/>
      <c r="G243" s="165"/>
      <c r="H243" s="165"/>
      <c r="I243" s="165"/>
      <c r="J243" s="165"/>
      <c r="K243" s="165"/>
      <c r="L243" s="165"/>
    </row>
    <row r="244" spans="3:12">
      <c r="C244" s="165"/>
      <c r="D244" s="165"/>
      <c r="E244" s="165"/>
      <c r="F244" s="165"/>
      <c r="G244" s="165"/>
      <c r="H244" s="165"/>
      <c r="I244" s="165"/>
      <c r="J244" s="165"/>
      <c r="K244" s="165"/>
      <c r="L244" s="165"/>
    </row>
    <row r="245" spans="3:12">
      <c r="C245" s="165"/>
      <c r="D245" s="165"/>
      <c r="E245" s="165"/>
      <c r="F245" s="165"/>
      <c r="G245" s="165"/>
      <c r="H245" s="165"/>
      <c r="I245" s="165"/>
      <c r="J245" s="165"/>
      <c r="K245" s="165"/>
      <c r="L245" s="165"/>
    </row>
    <row r="246" spans="3:12">
      <c r="C246" s="165"/>
      <c r="D246" s="165"/>
      <c r="E246" s="165"/>
      <c r="F246" s="165"/>
      <c r="G246" s="165"/>
      <c r="H246" s="165"/>
      <c r="I246" s="165"/>
      <c r="J246" s="165"/>
      <c r="K246" s="165"/>
      <c r="L246" s="165"/>
    </row>
    <row r="247" spans="3:12">
      <c r="C247" s="165"/>
      <c r="D247" s="165"/>
      <c r="E247" s="165"/>
      <c r="F247" s="165"/>
      <c r="G247" s="165"/>
      <c r="H247" s="165"/>
      <c r="I247" s="165"/>
      <c r="J247" s="165"/>
      <c r="K247" s="165"/>
      <c r="L247" s="165"/>
    </row>
    <row r="248" spans="3:12">
      <c r="C248" s="165"/>
      <c r="D248" s="165"/>
      <c r="E248" s="165"/>
      <c r="F248" s="165"/>
      <c r="G248" s="165"/>
      <c r="H248" s="165"/>
      <c r="I248" s="165"/>
      <c r="J248" s="165"/>
      <c r="K248" s="165"/>
      <c r="L248" s="165"/>
    </row>
    <row r="249" spans="3:12">
      <c r="C249" s="165"/>
      <c r="D249" s="165"/>
      <c r="E249" s="165"/>
      <c r="F249" s="165"/>
      <c r="G249" s="165"/>
      <c r="H249" s="165"/>
      <c r="I249" s="165"/>
      <c r="J249" s="165"/>
      <c r="K249" s="165"/>
      <c r="L249" s="165"/>
    </row>
    <row r="250" spans="3:12">
      <c r="C250" s="165"/>
      <c r="D250" s="165"/>
      <c r="E250" s="165"/>
      <c r="F250" s="165"/>
      <c r="G250" s="165"/>
      <c r="H250" s="165"/>
      <c r="I250" s="165"/>
      <c r="J250" s="165"/>
      <c r="K250" s="165"/>
      <c r="L250" s="165"/>
    </row>
    <row r="251" spans="3:12">
      <c r="C251" s="165"/>
      <c r="D251" s="165"/>
      <c r="E251" s="165"/>
      <c r="F251" s="165"/>
      <c r="G251" s="165"/>
      <c r="H251" s="165"/>
      <c r="I251" s="165"/>
      <c r="J251" s="165"/>
      <c r="K251" s="165"/>
      <c r="L251" s="165"/>
    </row>
    <row r="252" spans="3:12">
      <c r="C252" s="165"/>
      <c r="D252" s="165"/>
      <c r="E252" s="165"/>
      <c r="F252" s="165"/>
      <c r="G252" s="165"/>
      <c r="H252" s="165"/>
      <c r="I252" s="165"/>
      <c r="J252" s="165"/>
      <c r="K252" s="165"/>
      <c r="L252" s="165"/>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29</vt:i4>
      </vt:variant>
    </vt:vector>
  </HeadingPairs>
  <TitlesOfParts>
    <vt:vector size="34" baseType="lpstr">
      <vt:lpstr>Input</vt:lpstr>
      <vt:lpstr>Model_Mthly</vt:lpstr>
      <vt:lpstr>Sensitivity_Analysis_Mthly</vt:lpstr>
      <vt:lpstr>Model_Annual</vt:lpstr>
      <vt:lpstr>Sensitivity_Analysis_Annual</vt:lpstr>
      <vt:lpstr>amort_period</vt:lpstr>
      <vt:lpstr>annual_incr_advtg</vt:lpstr>
      <vt:lpstr>annual_incr_ins</vt:lpstr>
      <vt:lpstr>annual_incr_other1</vt:lpstr>
      <vt:lpstr>annual_incr_other2</vt:lpstr>
      <vt:lpstr>annual_incr_proptax</vt:lpstr>
      <vt:lpstr>annual_incr_util</vt:lpstr>
      <vt:lpstr>appreciation_rate</vt:lpstr>
      <vt:lpstr>cap_rate</vt:lpstr>
      <vt:lpstr>capital_gains_tax</vt:lpstr>
      <vt:lpstr>cost_of_sale</vt:lpstr>
      <vt:lpstr>Date</vt:lpstr>
      <vt:lpstr>depr_no_of_yrs</vt:lpstr>
      <vt:lpstr>down_payment</vt:lpstr>
      <vt:lpstr>finance_rate</vt:lpstr>
      <vt:lpstr>income_tax</vt:lpstr>
      <vt:lpstr>interest_rate</vt:lpstr>
      <vt:lpstr>loan_amount</vt:lpstr>
      <vt:lpstr>mgmt_fee</vt:lpstr>
      <vt:lpstr>month_no</vt:lpstr>
      <vt:lpstr>mthly_rent</vt:lpstr>
      <vt:lpstr>option_termvalue</vt:lpstr>
      <vt:lpstr>other_3</vt:lpstr>
      <vt:lpstr>purchase_date</vt:lpstr>
      <vt:lpstr>reinvestment_rate</vt:lpstr>
      <vt:lpstr>rent_increase_interval</vt:lpstr>
      <vt:lpstr>repairs_maint</vt:lpstr>
      <vt:lpstr>total_initial_cost</vt:lpstr>
      <vt:lpstr>vacancy_losses</vt:lpstr>
    </vt:vector>
  </TitlesOfParts>
  <Company>GIC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Tandon</dc:creator>
  <cp:lastModifiedBy>Amit Tandon</cp:lastModifiedBy>
  <dcterms:created xsi:type="dcterms:W3CDTF">2010-02-10T09:12:50Z</dcterms:created>
  <dcterms:modified xsi:type="dcterms:W3CDTF">2011-02-09T10:39:56Z</dcterms:modified>
</cp:coreProperties>
</file>