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411_71\Desktop\r_q_result\"/>
    </mc:Choice>
  </mc:AlternateContent>
  <xr:revisionPtr revIDLastSave="0" documentId="13_ncr:1_{B87C8FA5-8BF5-4D03-B508-593A4961F6DC}" xr6:coauthVersionLast="36" xr6:coauthVersionMax="36" xr10:uidLastSave="{00000000-0000-0000-0000-000000000000}"/>
  <bookViews>
    <workbookView xWindow="0" yWindow="0" windowWidth="28800" windowHeight="12225" xr2:uid="{443BD497-256F-49DD-8200-20F47953AA51}"/>
  </bookViews>
  <sheets>
    <sheet name="R_Q_table_result" sheetId="5" r:id="rId1"/>
    <sheet name="Power_table" sheetId="6" r:id="rId2"/>
    <sheet name="design compiler" sheetId="7" r:id="rId3"/>
    <sheet name="pynq ip time table" sheetId="8" r:id="rId4"/>
    <sheet name="Paper Table" sheetId="4" r:id="rId5"/>
    <sheet name="zero DSP" sheetId="3" r:id="rId6"/>
    <sheet name="synthesis outcome" sheetId="1" r:id="rId7"/>
    <sheet name="pynq_implementation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5" l="1"/>
  <c r="N5" i="5"/>
  <c r="N6" i="5"/>
  <c r="N7" i="5"/>
  <c r="N8" i="5"/>
  <c r="N9" i="5"/>
  <c r="N10" i="5"/>
  <c r="N11" i="5"/>
  <c r="N12" i="5"/>
  <c r="N4" i="5"/>
  <c r="M5" i="5"/>
  <c r="M6" i="5"/>
  <c r="M7" i="5"/>
  <c r="M8" i="5"/>
  <c r="M9" i="5"/>
  <c r="M10" i="5"/>
  <c r="M11" i="5"/>
  <c r="M12" i="5"/>
  <c r="M4" i="5"/>
  <c r="F14" i="6" l="1"/>
  <c r="F6" i="6"/>
  <c r="F7" i="6"/>
  <c r="F8" i="6"/>
  <c r="F9" i="6"/>
  <c r="F10" i="6"/>
  <c r="F11" i="6"/>
  <c r="F12" i="6"/>
  <c r="F13" i="6"/>
  <c r="F5" i="6"/>
  <c r="D12" i="8" l="1"/>
  <c r="C12" i="8"/>
  <c r="D6" i="7"/>
  <c r="D7" i="7"/>
  <c r="D8" i="7"/>
  <c r="D3" i="7"/>
  <c r="D4" i="7"/>
  <c r="D2" i="7"/>
  <c r="K12" i="5" l="1"/>
  <c r="J5" i="5"/>
  <c r="K5" i="5" s="1"/>
  <c r="J6" i="5"/>
  <c r="K6" i="5" s="1"/>
  <c r="J9" i="5"/>
  <c r="K9" i="5" s="1"/>
  <c r="J10" i="5"/>
  <c r="K10" i="5" s="1"/>
  <c r="J12" i="5"/>
  <c r="F12" i="5"/>
  <c r="F9" i="5"/>
  <c r="F6" i="5"/>
  <c r="F11" i="5"/>
  <c r="J11" i="5" s="1"/>
  <c r="K11" i="5" s="1"/>
  <c r="G8" i="5"/>
  <c r="F8" i="5"/>
  <c r="J8" i="5" s="1"/>
  <c r="K8" i="5" s="1"/>
  <c r="F5" i="5"/>
  <c r="F10" i="5"/>
  <c r="F7" i="5"/>
  <c r="J7" i="5" s="1"/>
  <c r="K7" i="5" s="1"/>
  <c r="F4" i="5"/>
  <c r="J4" i="5" s="1"/>
  <c r="K4" i="5" s="1"/>
  <c r="K13" i="5" l="1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K13" i="4" s="1"/>
  <c r="J4" i="4"/>
  <c r="J13" i="4" s="1"/>
  <c r="I4" i="4"/>
  <c r="I13" i="4" s="1"/>
  <c r="V35" i="3"/>
  <c r="U35" i="3"/>
  <c r="T35" i="3"/>
  <c r="V27" i="3"/>
  <c r="V28" i="3"/>
  <c r="V29" i="3"/>
  <c r="V30" i="3"/>
  <c r="V31" i="3"/>
  <c r="V32" i="3"/>
  <c r="V33" i="3"/>
  <c r="V34" i="3"/>
  <c r="V26" i="3"/>
  <c r="U27" i="3"/>
  <c r="U28" i="3"/>
  <c r="U29" i="3"/>
  <c r="U30" i="3"/>
  <c r="U31" i="3"/>
  <c r="U32" i="3"/>
  <c r="U33" i="3"/>
  <c r="U34" i="3"/>
  <c r="U26" i="3"/>
  <c r="T27" i="3"/>
  <c r="T28" i="3"/>
  <c r="T29" i="3"/>
  <c r="T30" i="3"/>
  <c r="T31" i="3"/>
  <c r="T32" i="3"/>
  <c r="T33" i="3"/>
  <c r="T34" i="3"/>
  <c r="T26" i="3"/>
  <c r="G39" i="3" l="1"/>
  <c r="G36" i="3"/>
  <c r="G37" i="3"/>
  <c r="G38" i="3"/>
  <c r="G40" i="3"/>
  <c r="G41" i="3"/>
  <c r="G42" i="3"/>
  <c r="G43" i="3"/>
  <c r="G35" i="3"/>
  <c r="G44" i="3" s="1"/>
  <c r="F37" i="3"/>
  <c r="F38" i="3"/>
  <c r="F39" i="3"/>
  <c r="F40" i="3"/>
  <c r="F41" i="3"/>
  <c r="F42" i="3"/>
  <c r="F43" i="3"/>
  <c r="F36" i="3"/>
  <c r="F35" i="3"/>
  <c r="M13" i="3"/>
  <c r="P14" i="3" l="1"/>
  <c r="P15" i="3"/>
  <c r="P16" i="3"/>
  <c r="P17" i="3"/>
  <c r="P18" i="3"/>
  <c r="P19" i="3"/>
  <c r="P20" i="3"/>
  <c r="P21" i="3"/>
  <c r="P13" i="3"/>
  <c r="O16" i="3"/>
  <c r="O19" i="3"/>
  <c r="O13" i="3"/>
  <c r="M21" i="3"/>
  <c r="M20" i="3"/>
  <c r="M14" i="3"/>
  <c r="M15" i="3"/>
  <c r="M16" i="3"/>
  <c r="M17" i="3"/>
  <c r="M18" i="3"/>
  <c r="M19" i="3"/>
  <c r="G29" i="3" l="1"/>
  <c r="D29" i="3"/>
  <c r="G28" i="3"/>
  <c r="G26" i="3"/>
  <c r="D26" i="3"/>
  <c r="G25" i="3"/>
  <c r="G23" i="3"/>
  <c r="D23" i="3"/>
  <c r="G22" i="3"/>
  <c r="O12" i="3" l="1"/>
  <c r="O9" i="3"/>
  <c r="O6" i="3"/>
  <c r="S12" i="3" l="1"/>
  <c r="O21" i="3" s="1"/>
  <c r="S11" i="3"/>
  <c r="O20" i="3" s="1"/>
  <c r="S9" i="3"/>
  <c r="O18" i="3" s="1"/>
  <c r="S8" i="3"/>
  <c r="O17" i="3" s="1"/>
  <c r="S6" i="3"/>
  <c r="O15" i="3" s="1"/>
  <c r="S5" i="3"/>
  <c r="O14" i="3" s="1"/>
  <c r="O8" i="1" l="1"/>
  <c r="P11" i="1"/>
  <c r="P10" i="1"/>
  <c r="P8" i="1"/>
  <c r="P7" i="1"/>
  <c r="P5" i="1"/>
  <c r="P4" i="1"/>
  <c r="O11" i="1"/>
  <c r="O10" i="1"/>
  <c r="O7" i="1"/>
  <c r="O5" i="1"/>
  <c r="O4" i="1"/>
  <c r="I12" i="1"/>
  <c r="I9" i="1"/>
  <c r="I6" i="1"/>
  <c r="I11" i="1"/>
  <c r="I8" i="1"/>
  <c r="I5" i="1"/>
  <c r="M4" i="1"/>
  <c r="N4" i="1" s="1"/>
  <c r="M11" i="1"/>
  <c r="N11" i="1" s="1"/>
  <c r="M10" i="1"/>
  <c r="N10" i="1" s="1"/>
  <c r="M8" i="1"/>
  <c r="N8" i="1" s="1"/>
  <c r="M7" i="1"/>
  <c r="N7" i="1" s="1"/>
  <c r="M5" i="1"/>
  <c r="N5" i="1" s="1"/>
</calcChain>
</file>

<file path=xl/sharedStrings.xml><?xml version="1.0" encoding="utf-8"?>
<sst xmlns="http://schemas.openxmlformats.org/spreadsheetml/2006/main" count="251" uniqueCount="76">
  <si>
    <t>4x4</t>
  </si>
  <si>
    <t>5x5</t>
  </si>
  <si>
    <t>OURS</t>
  </si>
  <si>
    <t>A=13</t>
  </si>
  <si>
    <t>A=29</t>
  </si>
  <si>
    <t>A=37</t>
  </si>
  <si>
    <t>6x6</t>
  </si>
  <si>
    <t>LUT</t>
  </si>
  <si>
    <t>FF</t>
  </si>
  <si>
    <t>DSP</t>
  </si>
  <si>
    <t>synthesis</t>
  </si>
  <si>
    <t>MUXF7</t>
  </si>
  <si>
    <t>CarryLogic</t>
  </si>
  <si>
    <t>pynq_implementation</t>
  </si>
  <si>
    <t>LUTRAM</t>
  </si>
  <si>
    <t>experimental result</t>
  </si>
  <si>
    <t>5x5-4x4</t>
  </si>
  <si>
    <t>6x6-5x5</t>
  </si>
  <si>
    <t>elavuated L for each A</t>
  </si>
  <si>
    <t>AN decoder array</t>
  </si>
  <si>
    <t>Ours</t>
  </si>
  <si>
    <t>MUXFx</t>
  </si>
  <si>
    <t>zero DSP</t>
  </si>
  <si>
    <t>M4/Q4</t>
  </si>
  <si>
    <t>M5/Q5</t>
  </si>
  <si>
    <t>M6/Q6</t>
  </si>
  <si>
    <t>M7/Q7</t>
  </si>
  <si>
    <t>M8/Q8</t>
  </si>
  <si>
    <t>M9/Q9</t>
  </si>
  <si>
    <t>M10/Q10</t>
  </si>
  <si>
    <t>M11/Q11</t>
  </si>
  <si>
    <t>M12/Q12</t>
  </si>
  <si>
    <t>percentage</t>
  </si>
  <si>
    <t>Work</t>
  </si>
  <si>
    <t>Separate Decoders [7]</t>
  </si>
  <si>
    <t>Components</t>
  </si>
  <si>
    <t>in z7020</t>
  </si>
  <si>
    <t>Carry</t>
  </si>
  <si>
    <t>Logic</t>
  </si>
  <si>
    <t>Reduced area</t>
  </si>
  <si>
    <t>average</t>
  </si>
  <si>
    <t>Average</t>
  </si>
  <si>
    <t>Percentage</t>
  </si>
  <si>
    <t>Previos work</t>
  </si>
  <si>
    <t>unit:watt</t>
  </si>
  <si>
    <t>power</t>
  </si>
  <si>
    <t>mul</t>
  </si>
  <si>
    <t>mul_constant29</t>
  </si>
  <si>
    <t>mul_shift_29</t>
  </si>
  <si>
    <t>mul_constant37</t>
  </si>
  <si>
    <t>mul_shift_37</t>
  </si>
  <si>
    <t>mul_shift_47</t>
  </si>
  <si>
    <t>area</t>
  </si>
  <si>
    <t>frequency</t>
  </si>
  <si>
    <t>變數x29</t>
  </si>
  <si>
    <t>變數x37</t>
  </si>
  <si>
    <t>變數使用TCB方式位移</t>
  </si>
  <si>
    <t>um2</t>
  </si>
  <si>
    <t>16bit變數x16bit變數=32bit和</t>
  </si>
  <si>
    <t>verilog code</t>
  </si>
  <si>
    <t>sum = data0*data1</t>
  </si>
  <si>
    <t>sum= data0*29</t>
  </si>
  <si>
    <t>sum=data0*37</t>
  </si>
  <si>
    <t>sum=(data&lt;&lt;0)-(data0&lt;&lt;2)+(data0&lt;&lt;5)</t>
  </si>
  <si>
    <t>sum=(data&lt;&lt;0)+(data0&lt;&lt;2)+(data0&lt;&lt;5)</t>
  </si>
  <si>
    <t>sum=(data0&lt;&lt;4)+(data0&lt;&lt;5)-(data&lt;&lt;0)</t>
  </si>
  <si>
    <t>clock period(ns)</t>
  </si>
  <si>
    <t>變數x47</t>
  </si>
  <si>
    <t>mul_constant47</t>
  </si>
  <si>
    <t>sum=data0*47</t>
  </si>
  <si>
    <t>shift time</t>
  </si>
  <si>
    <t>unit:s</t>
  </si>
  <si>
    <t>在constraint都一樣的情況下,只改變clk cycle</t>
  </si>
  <si>
    <t>power report from vivado</t>
  </si>
  <si>
    <t>multiply time</t>
  </si>
  <si>
    <t>carry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</si>
</sst>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36"/>
      <scheme val="minor"/>
    </font>
    <font>
      <sz val="10"/>
      <color theme="1"/>
      <name val="Var(--jp-code-font-family)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9" fillId="0" borderId="0">
      <alignment vertical="center"/>
    </xf>
  </cellStyleXfs>
  <cellXfs count="78">
    <xf numFmtId="0" fontId="0" fillId="0" borderId="0" xfId="0"/>
    <xf numFmtId="0" fontId="0" fillId="0" borderId="0" xfId="0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1" fillId="0" borderId="0" xfId="1" applyFon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3" fillId="0" borderId="0" xfId="2" applyFill="1"/>
    <xf numFmtId="0" fontId="3" fillId="3" borderId="0" xfId="2" applyAlignment="1">
      <alignment vertical="top"/>
    </xf>
    <xf numFmtId="0" fontId="0" fillId="0" borderId="0" xfId="0" applyFill="1" applyBorder="1"/>
    <xf numFmtId="0" fontId="0" fillId="0" borderId="0" xfId="0" applyFill="1" applyAlignment="1"/>
    <xf numFmtId="0" fontId="1" fillId="0" borderId="0" xfId="3" applyFont="1" applyFill="1"/>
    <xf numFmtId="0" fontId="0" fillId="7" borderId="0" xfId="0" applyFill="1"/>
    <xf numFmtId="0" fontId="1" fillId="7" borderId="0" xfId="1" applyFont="1" applyFill="1"/>
    <xf numFmtId="0" fontId="1" fillId="7" borderId="1" xfId="4" applyFont="1" applyFill="1"/>
    <xf numFmtId="0" fontId="0" fillId="7" borderId="0" xfId="0" applyFill="1" applyBorder="1"/>
    <xf numFmtId="0" fontId="0" fillId="8" borderId="0" xfId="0" applyFill="1"/>
    <xf numFmtId="0" fontId="0" fillId="0" borderId="0" xfId="0" applyFill="1" applyAlignment="1">
      <alignment horizontal="center"/>
    </xf>
    <xf numFmtId="0" fontId="1" fillId="0" borderId="0" xfId="1" applyFont="1" applyFill="1" applyBorder="1"/>
    <xf numFmtId="0" fontId="0" fillId="6" borderId="0" xfId="0" applyFill="1" applyAlignment="1">
      <alignment vertical="top"/>
    </xf>
    <xf numFmtId="10" fontId="0" fillId="0" borderId="0" xfId="0" applyNumberFormat="1"/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/>
    <xf numFmtId="3" fontId="7" fillId="0" borderId="9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10" fontId="8" fillId="0" borderId="0" xfId="0" applyNumberFormat="1" applyFont="1"/>
    <xf numFmtId="10" fontId="7" fillId="0" borderId="0" xfId="0" applyNumberFormat="1" applyFont="1"/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10" fontId="6" fillId="0" borderId="0" xfId="0" applyNumberFormat="1" applyFont="1"/>
    <xf numFmtId="0" fontId="6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/>
    <xf numFmtId="0" fontId="0" fillId="0" borderId="19" xfId="0" applyBorder="1" applyAlignment="1"/>
    <xf numFmtId="0" fontId="0" fillId="0" borderId="0" xfId="0" applyBorder="1"/>
    <xf numFmtId="0" fontId="9" fillId="0" borderId="0" xfId="5">
      <alignment vertical="center"/>
    </xf>
    <xf numFmtId="0" fontId="10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4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rmal 2" xfId="5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0</xdr:row>
      <xdr:rowOff>171450</xdr:rowOff>
    </xdr:from>
    <xdr:to>
      <xdr:col>10</xdr:col>
      <xdr:colOff>323849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A8B2B9-CCEF-4DDE-9EF1-88FF92AA1E93}"/>
            </a:ext>
          </a:extLst>
        </xdr:cNvPr>
        <xdr:cNvSpPr txBox="1"/>
      </xdr:nvSpPr>
      <xdr:spPr>
        <a:xfrm>
          <a:off x="4591049" y="171450"/>
          <a:ext cx="3552825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將變數成變數</a:t>
          </a:r>
          <a:r>
            <a:rPr lang="en-US" altLang="zh-TW" sz="1100"/>
            <a:t>,TCB</a:t>
          </a:r>
          <a:r>
            <a:rPr lang="zh-TW" altLang="en-US" sz="1100"/>
            <a:t>位移算法使用</a:t>
          </a:r>
          <a:r>
            <a:rPr lang="en-US" sz="1100"/>
            <a:t>verilog </a:t>
          </a:r>
          <a:r>
            <a:rPr lang="zh-TW" altLang="en-US" sz="1100"/>
            <a:t>燒成</a:t>
          </a:r>
          <a:r>
            <a:rPr lang="en-US" sz="1100"/>
            <a:t>ip  </a:t>
          </a:r>
          <a:r>
            <a:rPr lang="zh-TW" altLang="en-US" sz="1100"/>
            <a:t>放進</a:t>
          </a:r>
          <a:r>
            <a:rPr lang="en-US" sz="1100"/>
            <a:t>pynq,</a:t>
          </a:r>
        </a:p>
        <a:p>
          <a:r>
            <a:rPr lang="zh-TW" altLang="en-US" sz="1100"/>
            <a:t>取</a:t>
          </a:r>
          <a:r>
            <a:rPr lang="en-US" altLang="zh-TW" sz="1100"/>
            <a:t>1000000</a:t>
          </a:r>
          <a:r>
            <a:rPr lang="zh-TW" altLang="en-US" sz="1100"/>
            <a:t>隨機整數丟進</a:t>
          </a:r>
          <a:r>
            <a:rPr lang="en-US" altLang="zh-TW" sz="1100"/>
            <a:t>ip,</a:t>
          </a:r>
          <a:r>
            <a:rPr lang="zh-TW" altLang="en-US" sz="1100"/>
            <a:t>紀錄運算時間</a:t>
          </a:r>
          <a:r>
            <a:rPr lang="en-US" altLang="zh-TW" sz="1100"/>
            <a:t>,</a:t>
          </a:r>
        </a:p>
        <a:p>
          <a:r>
            <a:rPr lang="zh-TW" altLang="en-US" sz="1100"/>
            <a:t>使用</a:t>
          </a:r>
          <a:r>
            <a:rPr lang="en-US" altLang="zh-TW" sz="1100"/>
            <a:t>TCB</a:t>
          </a:r>
          <a:r>
            <a:rPr lang="zh-TW" altLang="en-US" sz="1100"/>
            <a:t>運算的速度在計算</a:t>
          </a:r>
          <a:r>
            <a:rPr lang="en-US" altLang="zh-TW" sz="1100"/>
            <a:t>1000000</a:t>
          </a:r>
          <a:r>
            <a:rPr lang="zh-TW" altLang="en-US" sz="1100"/>
            <a:t>變數的時間比用乘法運算快</a:t>
          </a:r>
          <a:r>
            <a:rPr lang="en-US" altLang="zh-TW" sz="1100"/>
            <a:t>13</a:t>
          </a:r>
          <a:r>
            <a:rPr lang="zh-TW" altLang="en-US" sz="1100"/>
            <a:t>秒</a:t>
          </a:r>
          <a:endParaRPr lang="en-US" altLang="zh-TW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228600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86594-7F25-4C0E-9BBA-E369F544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479107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228600</xdr:colOff>
      <xdr:row>6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CEBEC7-A73D-41E9-B0DB-C06A25D9C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39115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228600</xdr:colOff>
      <xdr:row>9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7E8828-B539-4E1E-BBF0-9EFE8A47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99122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11</xdr:col>
      <xdr:colOff>228600</xdr:colOff>
      <xdr:row>25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1467C-B1B7-4852-ACDD-12F01A5A3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479107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228600</xdr:colOff>
      <xdr:row>28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508BE-E787-4094-8A98-AE6F4EED2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39115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228600</xdr:colOff>
      <xdr:row>31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CE20DB-1190-437F-BF3F-AD09010CC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99122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404705</xdr:colOff>
      <xdr:row>5</xdr:row>
      <xdr:rowOff>128867</xdr:rowOff>
    </xdr:from>
    <xdr:to>
      <xdr:col>26</xdr:col>
      <xdr:colOff>236153</xdr:colOff>
      <xdr:row>10</xdr:row>
      <xdr:rowOff>176632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0EC46E-1394-4C9B-981E-BA99420D8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7529" y="1081367"/>
          <a:ext cx="2857036" cy="1000265"/>
        </a:xfrm>
        <a:prstGeom prst="rect">
          <a:avLst/>
        </a:prstGeom>
      </xdr:spPr>
    </xdr:pic>
    <xdr:clientData/>
  </xdr:twoCellAnchor>
  <xdr:twoCellAnchor editAs="oneCell">
    <xdr:from>
      <xdr:col>17</xdr:col>
      <xdr:colOff>86630</xdr:colOff>
      <xdr:row>0</xdr:row>
      <xdr:rowOff>173692</xdr:rowOff>
    </xdr:from>
    <xdr:to>
      <xdr:col>24</xdr:col>
      <xdr:colOff>100088</xdr:colOff>
      <xdr:row>4</xdr:row>
      <xdr:rowOff>126167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3AAFA56-5482-4719-8C31-A30174CDD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8983" y="173692"/>
          <a:ext cx="4249281" cy="714475"/>
        </a:xfrm>
        <a:prstGeom prst="rect">
          <a:avLst/>
        </a:prstGeom>
      </xdr:spPr>
    </xdr:pic>
    <xdr:clientData/>
  </xdr:twoCellAnchor>
  <xdr:twoCellAnchor editAs="oneCell">
    <xdr:from>
      <xdr:col>17</xdr:col>
      <xdr:colOff>150683</xdr:colOff>
      <xdr:row>5</xdr:row>
      <xdr:rowOff>79609</xdr:rowOff>
    </xdr:from>
    <xdr:to>
      <xdr:col>21</xdr:col>
      <xdr:colOff>301188</xdr:colOff>
      <xdr:row>9</xdr:row>
      <xdr:rowOff>117821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AF6C37-B175-457C-A22A-0BA57538C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53036" y="1032109"/>
          <a:ext cx="2570976" cy="800212"/>
        </a:xfrm>
        <a:prstGeom prst="rect">
          <a:avLst/>
        </a:prstGeom>
      </xdr:spPr>
    </xdr:pic>
    <xdr:clientData/>
  </xdr:twoCellAnchor>
  <xdr:twoCellAnchor editAs="oneCell">
    <xdr:from>
      <xdr:col>16</xdr:col>
      <xdr:colOff>323209</xdr:colOff>
      <xdr:row>13</xdr:row>
      <xdr:rowOff>137354</xdr:rowOff>
    </xdr:from>
    <xdr:to>
      <xdr:col>26</xdr:col>
      <xdr:colOff>317256</xdr:colOff>
      <xdr:row>32</xdr:row>
      <xdr:rowOff>147386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27C6F8A-71BC-4DBA-AF9E-7770301AC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38934" y="2613854"/>
          <a:ext cx="6090047" cy="3629532"/>
        </a:xfrm>
        <a:prstGeom prst="rect">
          <a:avLst/>
        </a:prstGeom>
      </xdr:spPr>
    </xdr:pic>
    <xdr:clientData/>
  </xdr:twoCellAnchor>
  <xdr:twoCellAnchor editAs="oneCell">
    <xdr:from>
      <xdr:col>7</xdr:col>
      <xdr:colOff>256455</xdr:colOff>
      <xdr:row>31</xdr:row>
      <xdr:rowOff>138392</xdr:rowOff>
    </xdr:from>
    <xdr:to>
      <xdr:col>15</xdr:col>
      <xdr:colOff>466433</xdr:colOff>
      <xdr:row>51</xdr:row>
      <xdr:rowOff>157976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14C582D-A2A6-4637-834A-B49A95BB1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4705" y="6043892"/>
          <a:ext cx="6067853" cy="3829584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12</xdr:row>
      <xdr:rowOff>25454</xdr:rowOff>
    </xdr:from>
    <xdr:to>
      <xdr:col>15</xdr:col>
      <xdr:colOff>252578</xdr:colOff>
      <xdr:row>30</xdr:row>
      <xdr:rowOff>159301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388BA5F-760B-48E2-AD15-BEF15B24F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05400" y="2311454"/>
          <a:ext cx="6053303" cy="3562847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12</xdr:row>
      <xdr:rowOff>152400</xdr:rowOff>
    </xdr:from>
    <xdr:to>
      <xdr:col>7</xdr:col>
      <xdr:colOff>171388</xdr:colOff>
      <xdr:row>38</xdr:row>
      <xdr:rowOff>47625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6EFEE00-F009-47A0-AA2D-A38823324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975" y="2438400"/>
          <a:ext cx="5038663" cy="484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2028-A731-4AB8-A262-874D9F09F96B}">
  <dimension ref="A1:N13"/>
  <sheetViews>
    <sheetView tabSelected="1" zoomScale="115" zoomScaleNormal="115" workbookViewId="0">
      <selection activeCell="N14" sqref="N14"/>
    </sheetView>
  </sheetViews>
  <sheetFormatPr defaultRowHeight="15"/>
  <cols>
    <col min="10" max="10" width="20.140625" customWidth="1"/>
    <col min="12" max="12" width="9.140625" customWidth="1"/>
    <col min="13" max="13" width="14.42578125" customWidth="1"/>
  </cols>
  <sheetData>
    <row r="1" spans="1:14" ht="15.75" thickBot="1">
      <c r="A1" s="57" t="s">
        <v>33</v>
      </c>
      <c r="B1" s="47"/>
      <c r="C1" s="57" t="s">
        <v>34</v>
      </c>
      <c r="D1" s="46"/>
      <c r="E1" s="58"/>
      <c r="F1" s="45" t="s">
        <v>20</v>
      </c>
      <c r="G1" s="46"/>
      <c r="H1" s="47"/>
    </row>
    <row r="2" spans="1:14">
      <c r="A2" s="48" t="s">
        <v>35</v>
      </c>
      <c r="B2" s="49"/>
      <c r="C2" s="50" t="s">
        <v>7</v>
      </c>
      <c r="D2" s="50" t="s">
        <v>21</v>
      </c>
      <c r="E2" s="29" t="s">
        <v>37</v>
      </c>
      <c r="F2" s="50" t="s">
        <v>7</v>
      </c>
      <c r="G2" s="50" t="s">
        <v>21</v>
      </c>
      <c r="H2" s="29" t="s">
        <v>37</v>
      </c>
    </row>
    <row r="3" spans="1:14" ht="15.75" thickBot="1">
      <c r="A3" s="52" t="s">
        <v>36</v>
      </c>
      <c r="B3" s="53"/>
      <c r="C3" s="51"/>
      <c r="D3" s="51"/>
      <c r="E3" s="30" t="s">
        <v>38</v>
      </c>
      <c r="F3" s="51"/>
      <c r="G3" s="51"/>
      <c r="H3" s="30" t="s">
        <v>38</v>
      </c>
      <c r="J3" t="s">
        <v>42</v>
      </c>
      <c r="K3" t="s">
        <v>7</v>
      </c>
      <c r="M3" t="s">
        <v>75</v>
      </c>
    </row>
    <row r="4" spans="1:14" ht="15.75" thickBot="1">
      <c r="A4" s="54" t="s">
        <v>0</v>
      </c>
      <c r="B4" s="30" t="s">
        <v>3</v>
      </c>
      <c r="C4" s="31">
        <v>24720</v>
      </c>
      <c r="D4" s="32">
        <v>80</v>
      </c>
      <c r="E4" s="31">
        <v>6240</v>
      </c>
      <c r="F4" s="31">
        <f>171+138+131+69+48</f>
        <v>557</v>
      </c>
      <c r="G4" s="32">
        <v>0</v>
      </c>
      <c r="H4" s="32">
        <v>80</v>
      </c>
      <c r="J4" s="21">
        <f>F4/C4</f>
        <v>2.2532362459546925E-2</v>
      </c>
      <c r="K4" s="21">
        <f>1-J4</f>
        <v>0.97746763754045307</v>
      </c>
      <c r="M4" s="21">
        <f>H4/E4</f>
        <v>1.282051282051282E-2</v>
      </c>
      <c r="N4" s="21">
        <f>1-M4</f>
        <v>0.98717948717948723</v>
      </c>
    </row>
    <row r="5" spans="1:14" ht="15.75" thickBot="1">
      <c r="A5" s="55"/>
      <c r="B5" s="30" t="s">
        <v>4</v>
      </c>
      <c r="C5" s="31">
        <v>60848</v>
      </c>
      <c r="D5" s="31">
        <v>1152</v>
      </c>
      <c r="E5" s="31">
        <v>13312</v>
      </c>
      <c r="F5" s="31">
        <f>522+346+342+137+124+16</f>
        <v>1487</v>
      </c>
      <c r="G5" s="32">
        <v>0</v>
      </c>
      <c r="H5" s="31">
        <v>115</v>
      </c>
      <c r="J5" s="21">
        <f t="shared" ref="J5:J12" si="0">F5/C5</f>
        <v>2.4437943728635288E-2</v>
      </c>
      <c r="K5" s="21">
        <f t="shared" ref="K5:K12" si="1">1-J5</f>
        <v>0.97556205627136472</v>
      </c>
      <c r="M5" s="21">
        <f>H5/E5</f>
        <v>8.6388221153846159E-3</v>
      </c>
      <c r="N5" s="21">
        <f t="shared" ref="N5:N12" si="2">1-M5</f>
        <v>0.99136117788461542</v>
      </c>
    </row>
    <row r="6" spans="1:14" ht="15.75" thickBot="1">
      <c r="A6" s="56"/>
      <c r="B6" s="30" t="s">
        <v>5</v>
      </c>
      <c r="C6" s="31">
        <v>161200</v>
      </c>
      <c r="D6" s="31">
        <v>1248</v>
      </c>
      <c r="E6" s="31">
        <v>37504</v>
      </c>
      <c r="F6" s="31">
        <f>746+687+679+543+323+96</f>
        <v>3074</v>
      </c>
      <c r="G6" s="32">
        <v>0</v>
      </c>
      <c r="H6" s="31">
        <v>404</v>
      </c>
      <c r="J6" s="21">
        <f t="shared" si="0"/>
        <v>1.9069478908188584E-2</v>
      </c>
      <c r="K6" s="21">
        <f t="shared" si="1"/>
        <v>0.98093052109181145</v>
      </c>
      <c r="M6" s="21">
        <f>H6/E6</f>
        <v>1.0772184300341298E-2</v>
      </c>
      <c r="N6" s="21">
        <f t="shared" si="2"/>
        <v>0.98922781569965867</v>
      </c>
    </row>
    <row r="7" spans="1:14" ht="15.75" thickBot="1">
      <c r="A7" s="54" t="s">
        <v>1</v>
      </c>
      <c r="B7" s="30" t="s">
        <v>3</v>
      </c>
      <c r="C7" s="31">
        <v>38600</v>
      </c>
      <c r="D7" s="32">
        <v>125</v>
      </c>
      <c r="E7" s="31">
        <v>9750</v>
      </c>
      <c r="F7" s="31">
        <f>258+227+218+131+89+75</f>
        <v>998</v>
      </c>
      <c r="G7" s="32">
        <v>0</v>
      </c>
      <c r="H7" s="32">
        <v>125</v>
      </c>
      <c r="J7" s="21">
        <f t="shared" si="0"/>
        <v>2.5854922279792747E-2</v>
      </c>
      <c r="K7" s="21">
        <f t="shared" si="1"/>
        <v>0.9741450777202072</v>
      </c>
      <c r="M7" s="21">
        <f>H7/E7</f>
        <v>1.282051282051282E-2</v>
      </c>
      <c r="N7" s="21">
        <f t="shared" si="2"/>
        <v>0.98717948717948723</v>
      </c>
    </row>
    <row r="8" spans="1:14" ht="15.75" thickBot="1">
      <c r="A8" s="55"/>
      <c r="B8" s="30" t="s">
        <v>4</v>
      </c>
      <c r="C8" s="31">
        <v>95075</v>
      </c>
      <c r="D8" s="31">
        <v>1800</v>
      </c>
      <c r="E8" s="31">
        <v>20800</v>
      </c>
      <c r="F8" s="31">
        <f>889+679+445+233+213+26</f>
        <v>2485</v>
      </c>
      <c r="G8" s="32">
        <f>10+4</f>
        <v>14</v>
      </c>
      <c r="H8" s="31">
        <v>178</v>
      </c>
      <c r="J8" s="21">
        <f t="shared" si="0"/>
        <v>2.6137260057849068E-2</v>
      </c>
      <c r="K8" s="21">
        <f t="shared" si="1"/>
        <v>0.97386273994215089</v>
      </c>
      <c r="M8" s="21">
        <f>H8/E8</f>
        <v>8.5576923076923078E-3</v>
      </c>
      <c r="N8" s="21">
        <f t="shared" si="2"/>
        <v>0.99144230769230768</v>
      </c>
    </row>
    <row r="9" spans="1:14" ht="15.75" thickBot="1">
      <c r="A9" s="56"/>
      <c r="B9" s="30" t="s">
        <v>5</v>
      </c>
      <c r="C9" s="31">
        <v>251875</v>
      </c>
      <c r="D9" s="31">
        <v>1950</v>
      </c>
      <c r="E9" s="31">
        <v>58600</v>
      </c>
      <c r="F9" s="31">
        <f>1467+1172+1058+704+476+290</f>
        <v>5167</v>
      </c>
      <c r="G9" s="32">
        <v>26</v>
      </c>
      <c r="H9" s="31">
        <v>705</v>
      </c>
      <c r="J9" s="21">
        <f t="shared" si="0"/>
        <v>2.0514143920595532E-2</v>
      </c>
      <c r="K9" s="21">
        <f t="shared" si="1"/>
        <v>0.97948585607940442</v>
      </c>
      <c r="M9" s="21">
        <f>H9/E9</f>
        <v>1.2030716723549488E-2</v>
      </c>
      <c r="N9" s="21">
        <f t="shared" si="2"/>
        <v>0.98796928327645051</v>
      </c>
    </row>
    <row r="10" spans="1:14" ht="15.75" thickBot="1">
      <c r="A10" s="54" t="s">
        <v>6</v>
      </c>
      <c r="B10" s="30" t="s">
        <v>3</v>
      </c>
      <c r="C10" s="31">
        <v>55584</v>
      </c>
      <c r="D10" s="32">
        <v>180</v>
      </c>
      <c r="E10" s="31">
        <v>14040</v>
      </c>
      <c r="F10" s="31">
        <f>396+330+297+188+130+108</f>
        <v>1449</v>
      </c>
      <c r="G10" s="32">
        <v>0</v>
      </c>
      <c r="H10" s="32">
        <v>180</v>
      </c>
      <c r="J10" s="21">
        <f t="shared" si="0"/>
        <v>2.6068652849740932E-2</v>
      </c>
      <c r="K10" s="21">
        <f t="shared" si="1"/>
        <v>0.97393134715025909</v>
      </c>
      <c r="M10" s="21">
        <f>H10/E10</f>
        <v>1.282051282051282E-2</v>
      </c>
      <c r="N10" s="21">
        <f t="shared" si="2"/>
        <v>0.98717948717948723</v>
      </c>
    </row>
    <row r="11" spans="1:14" ht="15.75" thickBot="1">
      <c r="A11" s="55"/>
      <c r="B11" s="30" t="s">
        <v>4</v>
      </c>
      <c r="C11" s="31">
        <v>211104</v>
      </c>
      <c r="D11" s="31">
        <v>4464</v>
      </c>
      <c r="E11" s="31">
        <v>47232</v>
      </c>
      <c r="F11" s="31">
        <f>1237+914+651+328+317+37</f>
        <v>3484</v>
      </c>
      <c r="G11" s="32">
        <v>13</v>
      </c>
      <c r="H11" s="31">
        <v>255</v>
      </c>
      <c r="J11" s="21">
        <f t="shared" si="0"/>
        <v>1.650371380930726E-2</v>
      </c>
      <c r="K11" s="21">
        <f t="shared" si="1"/>
        <v>0.98349628619069274</v>
      </c>
      <c r="M11" s="21">
        <f>H11/E11</f>
        <v>5.3988821138211381E-3</v>
      </c>
      <c r="N11" s="21">
        <f t="shared" si="2"/>
        <v>0.99460111788617889</v>
      </c>
    </row>
    <row r="12" spans="1:14" ht="15.75" thickBot="1">
      <c r="A12" s="56"/>
      <c r="B12" s="30" t="s">
        <v>5</v>
      </c>
      <c r="C12" s="31">
        <v>362700</v>
      </c>
      <c r="D12" s="31">
        <v>2808</v>
      </c>
      <c r="E12" s="31">
        <v>84384</v>
      </c>
      <c r="F12" s="31">
        <f>1876+1708+1526+1164+661+356</f>
        <v>7291</v>
      </c>
      <c r="G12" s="32">
        <v>25</v>
      </c>
      <c r="H12" s="31">
        <v>980</v>
      </c>
      <c r="J12" s="21">
        <f t="shared" si="0"/>
        <v>2.0102012682657842E-2</v>
      </c>
      <c r="K12" s="21">
        <f t="shared" si="1"/>
        <v>0.97989798731734212</v>
      </c>
      <c r="M12" s="21">
        <f>H12/E12</f>
        <v>1.1613576033371256E-2</v>
      </c>
      <c r="N12" s="21">
        <f t="shared" si="2"/>
        <v>0.98838642396662879</v>
      </c>
    </row>
    <row r="13" spans="1:14">
      <c r="K13" s="21">
        <f>SUM(K4:K12)/9</f>
        <v>0.97764216770040946</v>
      </c>
      <c r="N13" s="21">
        <f>AVERAGE(N4:N12)</f>
        <v>0.98939184310492245</v>
      </c>
    </row>
  </sheetData>
  <mergeCells count="12">
    <mergeCell ref="A4:A6"/>
    <mergeCell ref="A7:A9"/>
    <mergeCell ref="A10:A12"/>
    <mergeCell ref="A1:B1"/>
    <mergeCell ref="C1:E1"/>
    <mergeCell ref="F1:H1"/>
    <mergeCell ref="A2:B2"/>
    <mergeCell ref="C2:C3"/>
    <mergeCell ref="D2:D3"/>
    <mergeCell ref="F2:F3"/>
    <mergeCell ref="G2:G3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0977-0CD9-4E9C-BF97-F4B7DAC34544}">
  <dimension ref="A2:I25"/>
  <sheetViews>
    <sheetView workbookViewId="0">
      <selection activeCell="F15" sqref="F15"/>
    </sheetView>
  </sheetViews>
  <sheetFormatPr defaultRowHeight="15"/>
  <cols>
    <col min="4" max="4" width="15.5703125" customWidth="1"/>
    <col min="5" max="5" width="14.7109375" customWidth="1"/>
  </cols>
  <sheetData>
    <row r="2" spans="1:6">
      <c r="A2" t="s">
        <v>73</v>
      </c>
    </row>
    <row r="3" spans="1:6" ht="0.75" customHeight="1" thickBot="1">
      <c r="B3" s="35"/>
      <c r="C3" s="35"/>
      <c r="E3" s="35"/>
    </row>
    <row r="4" spans="1:6" ht="24.75" customHeight="1">
      <c r="A4" s="36"/>
      <c r="B4" s="40" t="s">
        <v>45</v>
      </c>
      <c r="C4" s="41" t="s">
        <v>44</v>
      </c>
      <c r="D4" s="38" t="s">
        <v>43</v>
      </c>
      <c r="E4" s="39" t="s">
        <v>20</v>
      </c>
      <c r="F4" s="37"/>
    </row>
    <row r="5" spans="1:6" ht="15.75" thickBot="1">
      <c r="B5" s="55" t="s">
        <v>0</v>
      </c>
      <c r="C5" s="34" t="s">
        <v>3</v>
      </c>
      <c r="D5" s="31">
        <v>597.48199999999997</v>
      </c>
      <c r="E5" s="32">
        <v>55.933</v>
      </c>
      <c r="F5">
        <f>E5/D5</f>
        <v>9.3614535668020124E-2</v>
      </c>
    </row>
    <row r="6" spans="1:6" ht="15.75" thickBot="1">
      <c r="B6" s="55"/>
      <c r="C6" s="34" t="s">
        <v>4</v>
      </c>
      <c r="D6" s="31">
        <v>1691.6859999999999</v>
      </c>
      <c r="E6" s="31">
        <v>178.446</v>
      </c>
      <c r="F6">
        <f t="shared" ref="F6:F13" si="0">E6/D6</f>
        <v>0.10548411466430532</v>
      </c>
    </row>
    <row r="7" spans="1:6" ht="15.75" thickBot="1">
      <c r="B7" s="56"/>
      <c r="C7" s="34" t="s">
        <v>5</v>
      </c>
      <c r="D7" s="31">
        <v>4012.0709999999999</v>
      </c>
      <c r="E7" s="31">
        <v>250.8</v>
      </c>
      <c r="F7">
        <f t="shared" si="0"/>
        <v>6.2511356354361627E-2</v>
      </c>
    </row>
    <row r="8" spans="1:6" ht="15.75" thickBot="1">
      <c r="B8" s="54" t="s">
        <v>1</v>
      </c>
      <c r="C8" s="34" t="s">
        <v>3</v>
      </c>
      <c r="D8" s="31">
        <v>933.38300000000004</v>
      </c>
      <c r="E8" s="32">
        <v>85.536000000000001</v>
      </c>
      <c r="F8">
        <f t="shared" si="0"/>
        <v>9.1640837683994669E-2</v>
      </c>
    </row>
    <row r="9" spans="1:6" ht="15.75" thickBot="1">
      <c r="B9" s="55"/>
      <c r="C9" s="34" t="s">
        <v>4</v>
      </c>
      <c r="D9" s="31">
        <v>2642.9589999999998</v>
      </c>
      <c r="E9" s="31">
        <v>295.14499999999998</v>
      </c>
      <c r="F9">
        <f t="shared" si="0"/>
        <v>0.1116721825802065</v>
      </c>
    </row>
    <row r="10" spans="1:6" ht="15.75" thickBot="1">
      <c r="B10" s="56"/>
      <c r="C10" s="34" t="s">
        <v>5</v>
      </c>
      <c r="D10" s="31">
        <v>6268.2759999999998</v>
      </c>
      <c r="E10" s="31">
        <v>427.536</v>
      </c>
      <c r="F10">
        <f t="shared" si="0"/>
        <v>6.820631382536442E-2</v>
      </c>
    </row>
    <row r="11" spans="1:6" ht="15.75" thickBot="1">
      <c r="B11" s="54" t="s">
        <v>6</v>
      </c>
      <c r="C11" s="34" t="s">
        <v>3</v>
      </c>
      <c r="D11" s="31">
        <v>1343.614</v>
      </c>
      <c r="E11" s="32">
        <v>127.4</v>
      </c>
      <c r="F11">
        <f t="shared" si="0"/>
        <v>9.4818898880184341E-2</v>
      </c>
    </row>
    <row r="12" spans="1:6" ht="15.75" thickBot="1">
      <c r="B12" s="55"/>
      <c r="C12" s="34" t="s">
        <v>4</v>
      </c>
      <c r="D12" s="31">
        <v>5592.3770000000004</v>
      </c>
      <c r="E12" s="31">
        <v>420.40899999999999</v>
      </c>
      <c r="F12">
        <f t="shared" si="0"/>
        <v>7.5175368184226488E-2</v>
      </c>
    </row>
    <row r="13" spans="1:6" ht="15.75" thickBot="1">
      <c r="B13" s="56"/>
      <c r="C13" s="34" t="s">
        <v>5</v>
      </c>
      <c r="D13" s="31">
        <v>9025.8610000000008</v>
      </c>
      <c r="E13" s="31">
        <v>606.197</v>
      </c>
      <c r="F13">
        <f t="shared" si="0"/>
        <v>6.7162235270407988E-2</v>
      </c>
    </row>
    <row r="14" spans="1:6">
      <c r="F14">
        <f>AVERAGE(F5:F13)</f>
        <v>8.5587315901230171E-2</v>
      </c>
    </row>
    <row r="25" spans="9:9">
      <c r="I25" s="42"/>
    </row>
  </sheetData>
  <mergeCells count="3">
    <mergeCell ref="B5:B7"/>
    <mergeCell ref="B8:B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C92E-9891-4903-BA67-6ED2383F7EFE}">
  <dimension ref="A1:I12"/>
  <sheetViews>
    <sheetView workbookViewId="0">
      <selection activeCell="C22" sqref="C22"/>
    </sheetView>
  </sheetViews>
  <sheetFormatPr defaultRowHeight="15"/>
  <cols>
    <col min="1" max="1" width="35.5703125" customWidth="1"/>
    <col min="2" max="2" width="17.85546875" customWidth="1"/>
    <col min="3" max="3" width="15.5703125" customWidth="1"/>
    <col min="4" max="4" width="18" customWidth="1"/>
    <col min="5" max="5" width="13.7109375" customWidth="1"/>
    <col min="6" max="6" width="42.85546875" customWidth="1"/>
  </cols>
  <sheetData>
    <row r="1" spans="1:9">
      <c r="C1" t="s">
        <v>66</v>
      </c>
      <c r="D1" t="s">
        <v>53</v>
      </c>
      <c r="E1" t="s">
        <v>52</v>
      </c>
      <c r="F1" t="s">
        <v>59</v>
      </c>
    </row>
    <row r="2" spans="1:9">
      <c r="A2" t="s">
        <v>58</v>
      </c>
      <c r="B2" s="43" t="s">
        <v>46</v>
      </c>
      <c r="C2" s="43">
        <v>5</v>
      </c>
      <c r="D2">
        <f>1000/C2</f>
        <v>200</v>
      </c>
      <c r="E2" s="43">
        <v>183132</v>
      </c>
      <c r="F2" t="s">
        <v>60</v>
      </c>
    </row>
    <row r="3" spans="1:9">
      <c r="A3" t="s">
        <v>54</v>
      </c>
      <c r="B3" s="43" t="s">
        <v>47</v>
      </c>
      <c r="C3" s="43">
        <v>2.2000000000000002</v>
      </c>
      <c r="D3">
        <f t="shared" ref="D3:D4" si="0">1000/C3</f>
        <v>454.5454545454545</v>
      </c>
      <c r="E3" s="43">
        <v>11427.4</v>
      </c>
      <c r="F3" t="s">
        <v>61</v>
      </c>
    </row>
    <row r="4" spans="1:9">
      <c r="A4" t="s">
        <v>55</v>
      </c>
      <c r="B4" s="43" t="s">
        <v>49</v>
      </c>
      <c r="C4" s="43">
        <v>2.2000000000000002</v>
      </c>
      <c r="D4">
        <f t="shared" si="0"/>
        <v>454.5454545454545</v>
      </c>
      <c r="E4" s="43">
        <v>12352.3</v>
      </c>
      <c r="F4" s="43" t="s">
        <v>62</v>
      </c>
      <c r="G4" s="43"/>
      <c r="H4" s="43"/>
      <c r="I4" s="43"/>
    </row>
    <row r="5" spans="1:9">
      <c r="A5" t="s">
        <v>67</v>
      </c>
      <c r="B5" s="43" t="s">
        <v>68</v>
      </c>
      <c r="C5" s="43">
        <v>2.2000000000000002</v>
      </c>
      <c r="D5">
        <v>454.5454545454545</v>
      </c>
      <c r="E5" s="43">
        <v>12792.9</v>
      </c>
      <c r="F5" s="43" t="s">
        <v>69</v>
      </c>
      <c r="G5" s="43"/>
      <c r="H5" s="43"/>
      <c r="I5" s="43"/>
    </row>
    <row r="6" spans="1:9">
      <c r="A6" t="s">
        <v>56</v>
      </c>
      <c r="B6" s="43" t="s">
        <v>48</v>
      </c>
      <c r="C6" s="43">
        <v>2.9</v>
      </c>
      <c r="D6">
        <f>1000/C6</f>
        <v>344.82758620689657</v>
      </c>
      <c r="E6" s="43">
        <v>16723.900000000001</v>
      </c>
      <c r="F6" s="43" t="s">
        <v>63</v>
      </c>
    </row>
    <row r="7" spans="1:9">
      <c r="A7" t="s">
        <v>56</v>
      </c>
      <c r="B7" s="43" t="s">
        <v>50</v>
      </c>
      <c r="C7" s="43">
        <v>2.8</v>
      </c>
      <c r="D7">
        <f>1000/C7</f>
        <v>357.14285714285717</v>
      </c>
      <c r="E7" s="43">
        <v>16014.6</v>
      </c>
      <c r="F7" s="43" t="s">
        <v>64</v>
      </c>
    </row>
    <row r="8" spans="1:9">
      <c r="A8" t="s">
        <v>56</v>
      </c>
      <c r="B8" s="43" t="s">
        <v>51</v>
      </c>
      <c r="C8" s="43">
        <v>2.8</v>
      </c>
      <c r="D8">
        <f>1000/C8</f>
        <v>357.14285714285717</v>
      </c>
      <c r="E8" s="43">
        <v>16258.3</v>
      </c>
      <c r="F8" s="43" t="s">
        <v>65</v>
      </c>
    </row>
    <row r="9" spans="1:9">
      <c r="B9" s="43"/>
      <c r="C9" s="43"/>
      <c r="D9" s="43"/>
      <c r="E9" t="s">
        <v>57</v>
      </c>
      <c r="F9" s="43"/>
    </row>
    <row r="12" spans="1:9">
      <c r="A1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ADC7-5EFC-48AB-A3D3-D88DC5B0A76C}">
  <dimension ref="B1:D13"/>
  <sheetViews>
    <sheetView workbookViewId="0">
      <selection activeCell="C12" sqref="C12:D12"/>
    </sheetView>
  </sheetViews>
  <sheetFormatPr defaultRowHeight="15"/>
  <cols>
    <col min="2" max="2" width="19" customWidth="1"/>
    <col min="3" max="3" width="17.28515625" customWidth="1"/>
    <col min="4" max="4" width="17" customWidth="1"/>
  </cols>
  <sheetData>
    <row r="1" spans="2:4">
      <c r="C1" t="s">
        <v>70</v>
      </c>
      <c r="D1" t="s">
        <v>74</v>
      </c>
    </row>
    <row r="2" spans="2:4">
      <c r="B2">
        <v>1</v>
      </c>
      <c r="C2" s="44">
        <v>60.399395704269402</v>
      </c>
      <c r="D2" s="44">
        <v>72.982180356979299</v>
      </c>
    </row>
    <row r="3" spans="2:4">
      <c r="B3">
        <v>2</v>
      </c>
      <c r="C3" s="44">
        <v>59.9686825275421</v>
      </c>
      <c r="D3" s="44">
        <v>73.277957201004</v>
      </c>
    </row>
    <row r="4" spans="2:4">
      <c r="B4">
        <v>3</v>
      </c>
      <c r="C4" s="44">
        <v>59.970388412475501</v>
      </c>
      <c r="D4" s="44">
        <v>73.473369121551499</v>
      </c>
    </row>
    <row r="5" spans="2:4">
      <c r="B5">
        <v>4</v>
      </c>
      <c r="C5" s="44">
        <v>59.747520208358701</v>
      </c>
      <c r="D5" s="44">
        <v>73.322377443313599</v>
      </c>
    </row>
    <row r="6" spans="2:4">
      <c r="B6">
        <v>5</v>
      </c>
      <c r="C6" s="44">
        <v>60.412368297576897</v>
      </c>
      <c r="D6" s="44">
        <v>73.098817110061603</v>
      </c>
    </row>
    <row r="7" spans="2:4">
      <c r="B7">
        <v>6</v>
      </c>
      <c r="C7" s="44">
        <v>60.174400568008402</v>
      </c>
      <c r="D7" s="44">
        <v>73.398184537887502</v>
      </c>
    </row>
    <row r="8" spans="2:4">
      <c r="B8">
        <v>7</v>
      </c>
      <c r="C8" s="44">
        <v>59.782921314239502</v>
      </c>
      <c r="D8" s="44">
        <v>74.534355878829899</v>
      </c>
    </row>
    <row r="9" spans="2:4">
      <c r="B9">
        <v>8</v>
      </c>
      <c r="C9" s="44">
        <v>59.662836313247603</v>
      </c>
      <c r="D9" s="44">
        <v>74.100487709045396</v>
      </c>
    </row>
    <row r="10" spans="2:4">
      <c r="B10">
        <v>9</v>
      </c>
      <c r="C10" s="44">
        <v>59.983867645263601</v>
      </c>
      <c r="D10" s="44">
        <v>73.259829521179199</v>
      </c>
    </row>
    <row r="11" spans="2:4">
      <c r="B11">
        <v>10</v>
      </c>
      <c r="C11" s="44">
        <v>59.970003366470301</v>
      </c>
      <c r="D11" s="44">
        <v>73.213805675506507</v>
      </c>
    </row>
    <row r="12" spans="2:4">
      <c r="C12">
        <f>SUM(C2:C11)/10</f>
        <v>60.007238435745208</v>
      </c>
      <c r="D12">
        <f>SUM(D2:D11)/10</f>
        <v>73.46613645553586</v>
      </c>
    </row>
    <row r="13" spans="2:4">
      <c r="C13" t="s">
        <v>71</v>
      </c>
      <c r="D13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BA1B-0502-4659-8C78-B0E1D35AD921}">
  <dimension ref="A1:K13"/>
  <sheetViews>
    <sheetView zoomScale="130" zoomScaleNormal="130" workbookViewId="0">
      <selection activeCell="F20" sqref="F20"/>
    </sheetView>
  </sheetViews>
  <sheetFormatPr defaultRowHeight="12.75"/>
  <cols>
    <col min="1" max="16384" width="9.140625" style="24"/>
  </cols>
  <sheetData>
    <row r="1" spans="1:11" ht="13.5" thickBot="1">
      <c r="A1" s="57" t="s">
        <v>33</v>
      </c>
      <c r="B1" s="47"/>
      <c r="C1" s="57" t="s">
        <v>34</v>
      </c>
      <c r="D1" s="46"/>
      <c r="E1" s="58"/>
      <c r="F1" s="45" t="s">
        <v>20</v>
      </c>
      <c r="G1" s="46"/>
      <c r="H1" s="47"/>
    </row>
    <row r="2" spans="1:11">
      <c r="A2" s="48" t="s">
        <v>35</v>
      </c>
      <c r="B2" s="49"/>
      <c r="C2" s="50" t="s">
        <v>7</v>
      </c>
      <c r="D2" s="50" t="s">
        <v>21</v>
      </c>
      <c r="E2" s="29" t="s">
        <v>37</v>
      </c>
      <c r="F2" s="50" t="s">
        <v>7</v>
      </c>
      <c r="G2" s="50" t="s">
        <v>21</v>
      </c>
      <c r="H2" s="29" t="s">
        <v>37</v>
      </c>
      <c r="I2" s="24" t="s">
        <v>39</v>
      </c>
    </row>
    <row r="3" spans="1:11" ht="13.5" thickBot="1">
      <c r="A3" s="52" t="s">
        <v>36</v>
      </c>
      <c r="B3" s="53"/>
      <c r="C3" s="51"/>
      <c r="D3" s="51"/>
      <c r="E3" s="30" t="s">
        <v>38</v>
      </c>
      <c r="F3" s="51"/>
      <c r="G3" s="51"/>
      <c r="H3" s="30" t="s">
        <v>38</v>
      </c>
    </row>
    <row r="4" spans="1:11" ht="13.5" thickBot="1">
      <c r="A4" s="54"/>
      <c r="B4" s="30" t="s">
        <v>3</v>
      </c>
      <c r="C4" s="31">
        <v>24720</v>
      </c>
      <c r="D4" s="32">
        <v>80</v>
      </c>
      <c r="E4" s="31">
        <v>6240</v>
      </c>
      <c r="F4" s="31">
        <v>2091</v>
      </c>
      <c r="G4" s="32">
        <v>3</v>
      </c>
      <c r="H4" s="32">
        <v>438</v>
      </c>
      <c r="I4" s="33">
        <f>1-F4/C4</f>
        <v>0.9154126213592233</v>
      </c>
      <c r="J4" s="33">
        <f>1-G4/D4</f>
        <v>0.96250000000000002</v>
      </c>
      <c r="K4" s="33">
        <f>1-H4/E4</f>
        <v>0.92980769230769234</v>
      </c>
    </row>
    <row r="5" spans="1:11" ht="13.5" thickBot="1">
      <c r="A5" s="55"/>
      <c r="B5" s="30" t="s">
        <v>4</v>
      </c>
      <c r="C5" s="31">
        <v>60848</v>
      </c>
      <c r="D5" s="31">
        <v>1152</v>
      </c>
      <c r="E5" s="31">
        <v>13312</v>
      </c>
      <c r="F5" s="31">
        <v>7372</v>
      </c>
      <c r="G5" s="32">
        <v>104</v>
      </c>
      <c r="H5" s="31">
        <v>1417</v>
      </c>
      <c r="I5" s="33">
        <f t="shared" ref="I5:K12" si="0">1-F5/C5</f>
        <v>0.87884564817249544</v>
      </c>
      <c r="J5" s="33">
        <f t="shared" si="0"/>
        <v>0.90972222222222221</v>
      </c>
      <c r="K5" s="33">
        <f t="shared" si="0"/>
        <v>0.8935546875</v>
      </c>
    </row>
    <row r="6" spans="1:11" ht="13.5" thickBot="1">
      <c r="A6" s="56"/>
      <c r="B6" s="30" t="s">
        <v>5</v>
      </c>
      <c r="C6" s="31">
        <v>161200</v>
      </c>
      <c r="D6" s="31">
        <v>1248</v>
      </c>
      <c r="E6" s="31">
        <v>37504</v>
      </c>
      <c r="F6" s="31">
        <v>12900</v>
      </c>
      <c r="G6" s="32">
        <v>234</v>
      </c>
      <c r="H6" s="31">
        <v>2724</v>
      </c>
      <c r="I6" s="33">
        <f t="shared" si="0"/>
        <v>0.91997518610421836</v>
      </c>
      <c r="J6" s="33">
        <f t="shared" si="0"/>
        <v>0.8125</v>
      </c>
      <c r="K6" s="33">
        <f t="shared" si="0"/>
        <v>0.92736774744027306</v>
      </c>
    </row>
    <row r="7" spans="1:11" ht="13.5" thickBot="1">
      <c r="A7" s="54"/>
      <c r="B7" s="30" t="s">
        <v>3</v>
      </c>
      <c r="C7" s="31">
        <v>38600</v>
      </c>
      <c r="D7" s="32">
        <v>125</v>
      </c>
      <c r="E7" s="31">
        <v>9750</v>
      </c>
      <c r="F7" s="31">
        <v>2398</v>
      </c>
      <c r="G7" s="32">
        <v>2</v>
      </c>
      <c r="H7" s="32">
        <v>465</v>
      </c>
      <c r="I7" s="33">
        <f t="shared" si="0"/>
        <v>0.93787564766839382</v>
      </c>
      <c r="J7" s="33">
        <f t="shared" si="0"/>
        <v>0.98399999999999999</v>
      </c>
      <c r="K7" s="33">
        <f t="shared" si="0"/>
        <v>0.9523076923076923</v>
      </c>
    </row>
    <row r="8" spans="1:11" ht="13.5" thickBot="1">
      <c r="A8" s="55"/>
      <c r="B8" s="30" t="s">
        <v>4</v>
      </c>
      <c r="C8" s="31">
        <v>95075</v>
      </c>
      <c r="D8" s="31">
        <v>1800</v>
      </c>
      <c r="E8" s="31">
        <v>20800</v>
      </c>
      <c r="F8" s="31">
        <v>8083</v>
      </c>
      <c r="G8" s="32">
        <v>104</v>
      </c>
      <c r="H8" s="31">
        <v>1480</v>
      </c>
      <c r="I8" s="33">
        <f t="shared" si="0"/>
        <v>0.91498290823034445</v>
      </c>
      <c r="J8" s="33">
        <f t="shared" si="0"/>
        <v>0.94222222222222218</v>
      </c>
      <c r="K8" s="33">
        <f t="shared" si="0"/>
        <v>0.92884615384615388</v>
      </c>
    </row>
    <row r="9" spans="1:11" ht="13.5" thickBot="1">
      <c r="A9" s="56"/>
      <c r="B9" s="30" t="s">
        <v>5</v>
      </c>
      <c r="C9" s="31">
        <v>251875</v>
      </c>
      <c r="D9" s="31">
        <v>1950</v>
      </c>
      <c r="E9" s="31">
        <v>58600</v>
      </c>
      <c r="F9" s="31">
        <v>14254</v>
      </c>
      <c r="G9" s="32">
        <v>312</v>
      </c>
      <c r="H9" s="31">
        <v>2949</v>
      </c>
      <c r="I9" s="33">
        <f t="shared" si="0"/>
        <v>0.94340843672456576</v>
      </c>
      <c r="J9" s="33">
        <f t="shared" si="0"/>
        <v>0.84</v>
      </c>
      <c r="K9" s="33">
        <f t="shared" si="0"/>
        <v>0.94967576791808872</v>
      </c>
    </row>
    <row r="10" spans="1:11" ht="13.5" thickBot="1">
      <c r="A10" s="54"/>
      <c r="B10" s="30" t="s">
        <v>3</v>
      </c>
      <c r="C10" s="31">
        <v>55584</v>
      </c>
      <c r="D10" s="32">
        <v>180</v>
      </c>
      <c r="E10" s="31">
        <v>14040</v>
      </c>
      <c r="F10" s="31">
        <v>2666</v>
      </c>
      <c r="G10" s="32">
        <v>1</v>
      </c>
      <c r="H10" s="32">
        <v>498</v>
      </c>
      <c r="I10" s="33">
        <f t="shared" si="0"/>
        <v>0.95203655728267123</v>
      </c>
      <c r="J10" s="33">
        <f t="shared" si="0"/>
        <v>0.99444444444444446</v>
      </c>
      <c r="K10" s="33">
        <f t="shared" si="0"/>
        <v>0.96452991452991454</v>
      </c>
    </row>
    <row r="11" spans="1:11" ht="13.5" thickBot="1">
      <c r="A11" s="55"/>
      <c r="B11" s="30" t="s">
        <v>4</v>
      </c>
      <c r="C11" s="31">
        <v>211104</v>
      </c>
      <c r="D11" s="31">
        <v>4464</v>
      </c>
      <c r="E11" s="31">
        <v>47232</v>
      </c>
      <c r="F11" s="31">
        <v>8987</v>
      </c>
      <c r="G11" s="32">
        <v>104</v>
      </c>
      <c r="H11" s="31">
        <v>1557</v>
      </c>
      <c r="I11" s="33">
        <f t="shared" si="0"/>
        <v>0.95742856601485526</v>
      </c>
      <c r="J11" s="33">
        <f t="shared" si="0"/>
        <v>0.97670250896057342</v>
      </c>
      <c r="K11" s="33">
        <f t="shared" si="0"/>
        <v>0.96703506097560976</v>
      </c>
    </row>
    <row r="12" spans="1:11" ht="13.5" thickBot="1">
      <c r="A12" s="56"/>
      <c r="B12" s="30" t="s">
        <v>5</v>
      </c>
      <c r="C12" s="31">
        <v>362700</v>
      </c>
      <c r="D12" s="31">
        <v>2808</v>
      </c>
      <c r="E12" s="31">
        <v>84384</v>
      </c>
      <c r="F12" s="31">
        <v>15950</v>
      </c>
      <c r="G12" s="32">
        <v>78</v>
      </c>
      <c r="H12" s="31">
        <v>3224</v>
      </c>
      <c r="I12" s="33">
        <f t="shared" si="0"/>
        <v>0.95602426247587535</v>
      </c>
      <c r="J12" s="33">
        <f t="shared" si="0"/>
        <v>0.97222222222222221</v>
      </c>
      <c r="K12" s="33">
        <f t="shared" si="0"/>
        <v>0.96179370496776639</v>
      </c>
    </row>
    <row r="13" spans="1:11">
      <c r="H13" s="24" t="s">
        <v>41</v>
      </c>
      <c r="I13" s="33">
        <f>AVERAGE(I4,I5,I6,I7,I8,I9,I10,I11,I12)</f>
        <v>0.9306655371147381</v>
      </c>
      <c r="J13" s="33">
        <f>AVERAGE(J4:J12)</f>
        <v>0.93270151334129836</v>
      </c>
      <c r="K13" s="33">
        <f>AVERAGE(K4:K12)</f>
        <v>0.94165760242146568</v>
      </c>
    </row>
  </sheetData>
  <mergeCells count="12">
    <mergeCell ref="F1:H1"/>
    <mergeCell ref="A2:B2"/>
    <mergeCell ref="C2:C3"/>
    <mergeCell ref="D2:D3"/>
    <mergeCell ref="F2:F3"/>
    <mergeCell ref="G2:G3"/>
    <mergeCell ref="A3:B3"/>
    <mergeCell ref="A4:A6"/>
    <mergeCell ref="A7:A9"/>
    <mergeCell ref="A10:A12"/>
    <mergeCell ref="A1:B1"/>
    <mergeCell ref="C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0E29-D7B1-41B8-AC8A-5511C5C3FE82}">
  <dimension ref="A1:V44"/>
  <sheetViews>
    <sheetView topLeftCell="A6" zoomScale="115" zoomScaleNormal="115" workbookViewId="0">
      <selection activeCell="T24" sqref="T24:V35"/>
    </sheetView>
  </sheetViews>
  <sheetFormatPr defaultRowHeight="15"/>
  <cols>
    <col min="6" max="6" width="20.42578125" customWidth="1"/>
    <col min="7" max="7" width="13.85546875" customWidth="1"/>
    <col min="10" max="10" width="9.140625" customWidth="1"/>
  </cols>
  <sheetData>
    <row r="1" spans="11:20">
      <c r="K1" t="s">
        <v>10</v>
      </c>
      <c r="L1" s="11"/>
      <c r="M1" s="69" t="s">
        <v>20</v>
      </c>
      <c r="N1" s="69"/>
      <c r="O1" s="69"/>
      <c r="P1" s="69"/>
      <c r="Q1" s="9" t="s">
        <v>19</v>
      </c>
      <c r="R1" s="9"/>
      <c r="S1" s="9"/>
      <c r="T1" s="9"/>
    </row>
    <row r="2" spans="11:20">
      <c r="K2" t="s">
        <v>22</v>
      </c>
      <c r="L2" s="7"/>
      <c r="M2" s="69"/>
      <c r="N2" s="69"/>
      <c r="O2" s="69"/>
      <c r="P2" s="69"/>
      <c r="Q2" s="9"/>
      <c r="R2" s="9"/>
      <c r="S2" s="9"/>
      <c r="T2" s="9"/>
    </row>
    <row r="3" spans="11:20">
      <c r="K3" t="s">
        <v>15</v>
      </c>
      <c r="L3" s="1"/>
      <c r="M3" s="1" t="s">
        <v>7</v>
      </c>
      <c r="N3" s="1" t="s">
        <v>9</v>
      </c>
      <c r="O3" s="1" t="s">
        <v>21</v>
      </c>
      <c r="P3" s="1" t="s">
        <v>12</v>
      </c>
      <c r="Q3" s="1" t="s">
        <v>7</v>
      </c>
      <c r="R3" s="1" t="s">
        <v>9</v>
      </c>
      <c r="S3" s="1" t="s">
        <v>21</v>
      </c>
      <c r="T3" s="1" t="s">
        <v>12</v>
      </c>
    </row>
    <row r="4" spans="11:20">
      <c r="K4" s="68" t="s">
        <v>0</v>
      </c>
      <c r="L4" s="13" t="s">
        <v>3</v>
      </c>
      <c r="M4" s="14">
        <v>2091</v>
      </c>
      <c r="N4" s="13">
        <v>0</v>
      </c>
      <c r="O4" s="13">
        <v>3</v>
      </c>
      <c r="P4" s="13">
        <v>438</v>
      </c>
      <c r="Q4" s="13">
        <v>24720</v>
      </c>
      <c r="R4" s="13">
        <v>0</v>
      </c>
      <c r="S4" s="13">
        <v>80</v>
      </c>
      <c r="T4" s="13">
        <v>6240</v>
      </c>
    </row>
    <row r="5" spans="11:20">
      <c r="K5" s="68"/>
      <c r="L5" t="s">
        <v>4</v>
      </c>
      <c r="M5" s="4">
        <v>7372</v>
      </c>
      <c r="N5" s="4">
        <v>0</v>
      </c>
      <c r="O5" s="4">
        <v>104</v>
      </c>
      <c r="P5" s="4">
        <v>1417</v>
      </c>
      <c r="Q5" s="4">
        <v>60848</v>
      </c>
      <c r="R5" s="4">
        <v>0</v>
      </c>
      <c r="S5" s="4">
        <f>208+944</f>
        <v>1152</v>
      </c>
      <c r="T5" s="4">
        <v>13312</v>
      </c>
    </row>
    <row r="6" spans="11:20">
      <c r="K6" s="68"/>
      <c r="L6" s="13" t="s">
        <v>5</v>
      </c>
      <c r="M6" s="13">
        <v>12900</v>
      </c>
      <c r="N6" s="13">
        <v>0</v>
      </c>
      <c r="O6" s="13">
        <f>221+13</f>
        <v>234</v>
      </c>
      <c r="P6" s="13">
        <v>2724</v>
      </c>
      <c r="Q6" s="13">
        <v>161200</v>
      </c>
      <c r="R6" s="13">
        <v>0</v>
      </c>
      <c r="S6" s="13">
        <f>832+416</f>
        <v>1248</v>
      </c>
      <c r="T6" s="13">
        <v>37504</v>
      </c>
    </row>
    <row r="7" spans="11:20">
      <c r="K7" s="68" t="s">
        <v>1</v>
      </c>
      <c r="L7" t="s">
        <v>3</v>
      </c>
      <c r="M7" s="5">
        <v>2398</v>
      </c>
      <c r="N7" s="4">
        <v>0</v>
      </c>
      <c r="O7" s="4">
        <v>2</v>
      </c>
      <c r="P7" s="4">
        <v>465</v>
      </c>
      <c r="Q7" s="4">
        <v>38600</v>
      </c>
      <c r="R7" s="4">
        <v>0</v>
      </c>
      <c r="S7" s="4">
        <v>125</v>
      </c>
      <c r="T7" s="4">
        <v>9750</v>
      </c>
    </row>
    <row r="8" spans="11:20">
      <c r="K8" s="68"/>
      <c r="L8" s="13" t="s">
        <v>4</v>
      </c>
      <c r="M8" s="13">
        <v>8083</v>
      </c>
      <c r="N8" s="13">
        <v>0</v>
      </c>
      <c r="O8" s="13">
        <v>104</v>
      </c>
      <c r="P8" s="13">
        <v>1480</v>
      </c>
      <c r="Q8" s="13">
        <v>95075</v>
      </c>
      <c r="R8" s="13">
        <v>0</v>
      </c>
      <c r="S8" s="13">
        <f>1475+325</f>
        <v>1800</v>
      </c>
      <c r="T8" s="13">
        <v>20800</v>
      </c>
    </row>
    <row r="9" spans="11:20">
      <c r="K9" s="68"/>
      <c r="L9" t="s">
        <v>5</v>
      </c>
      <c r="M9" s="5">
        <v>14254</v>
      </c>
      <c r="N9" s="4">
        <v>0</v>
      </c>
      <c r="O9" s="4">
        <f>208+104</f>
        <v>312</v>
      </c>
      <c r="P9" s="4">
        <v>2949</v>
      </c>
      <c r="Q9" s="4">
        <v>251875</v>
      </c>
      <c r="R9" s="4">
        <v>0</v>
      </c>
      <c r="S9">
        <f>1300+650</f>
        <v>1950</v>
      </c>
      <c r="T9" s="4">
        <v>58600</v>
      </c>
    </row>
    <row r="10" spans="11:20">
      <c r="K10" s="68" t="s">
        <v>6</v>
      </c>
      <c r="L10" s="13" t="s">
        <v>3</v>
      </c>
      <c r="M10" s="15">
        <v>2666</v>
      </c>
      <c r="N10" s="13">
        <v>0</v>
      </c>
      <c r="O10" s="13">
        <v>1</v>
      </c>
      <c r="P10" s="13">
        <v>498</v>
      </c>
      <c r="Q10" s="16">
        <v>55584</v>
      </c>
      <c r="R10" s="16">
        <v>0</v>
      </c>
      <c r="S10" s="16">
        <v>180</v>
      </c>
      <c r="T10" s="16">
        <v>14040</v>
      </c>
    </row>
    <row r="11" spans="11:20">
      <c r="K11" s="68"/>
      <c r="L11" t="s">
        <v>4</v>
      </c>
      <c r="M11" s="19">
        <v>8987</v>
      </c>
      <c r="N11" s="10">
        <v>0</v>
      </c>
      <c r="O11" s="4">
        <v>104</v>
      </c>
      <c r="P11" s="4">
        <v>1557</v>
      </c>
      <c r="Q11" s="10">
        <v>211104</v>
      </c>
      <c r="R11" s="10">
        <v>0</v>
      </c>
      <c r="S11">
        <f>3492+972</f>
        <v>4464</v>
      </c>
      <c r="T11" s="10">
        <v>47232</v>
      </c>
    </row>
    <row r="12" spans="11:20">
      <c r="K12" s="68"/>
      <c r="L12" s="13" t="s">
        <v>5</v>
      </c>
      <c r="M12" s="13">
        <v>15950</v>
      </c>
      <c r="N12" s="13">
        <v>0</v>
      </c>
      <c r="O12" s="13">
        <f>52+26</f>
        <v>78</v>
      </c>
      <c r="P12" s="13">
        <v>3224</v>
      </c>
      <c r="Q12" s="16">
        <v>362700</v>
      </c>
      <c r="R12" s="16">
        <v>0</v>
      </c>
      <c r="S12" s="13">
        <f>1872+936</f>
        <v>2808</v>
      </c>
      <c r="T12" s="16">
        <v>84384</v>
      </c>
    </row>
    <row r="13" spans="11:20">
      <c r="L13" t="s">
        <v>23</v>
      </c>
      <c r="M13">
        <f>M4/Q4</f>
        <v>8.45873786407767E-2</v>
      </c>
      <c r="O13">
        <f>O4/S4</f>
        <v>3.7499999999999999E-2</v>
      </c>
      <c r="P13">
        <f>P4/T4</f>
        <v>7.0192307692307693E-2</v>
      </c>
    </row>
    <row r="14" spans="11:20">
      <c r="L14" t="s">
        <v>24</v>
      </c>
      <c r="M14">
        <f t="shared" ref="M14:M19" si="0">M5/Q5</f>
        <v>0.1211543518275046</v>
      </c>
      <c r="O14">
        <f t="shared" ref="O14:O21" si="1">O5/S5</f>
        <v>9.0277777777777776E-2</v>
      </c>
      <c r="P14">
        <f t="shared" ref="P14:P21" si="2">P5/T5</f>
        <v>0.1064453125</v>
      </c>
    </row>
    <row r="15" spans="11:20">
      <c r="L15" t="s">
        <v>25</v>
      </c>
      <c r="M15">
        <f t="shared" si="0"/>
        <v>8.0024813895781644E-2</v>
      </c>
      <c r="O15">
        <f t="shared" si="1"/>
        <v>0.1875</v>
      </c>
      <c r="P15">
        <f t="shared" si="2"/>
        <v>7.2632252559726967E-2</v>
      </c>
    </row>
    <row r="16" spans="11:20">
      <c r="L16" t="s">
        <v>26</v>
      </c>
      <c r="M16">
        <f t="shared" si="0"/>
        <v>6.2124352331606215E-2</v>
      </c>
      <c r="O16">
        <f t="shared" si="1"/>
        <v>1.6E-2</v>
      </c>
      <c r="P16">
        <f t="shared" si="2"/>
        <v>4.7692307692307694E-2</v>
      </c>
    </row>
    <row r="17" spans="1:22">
      <c r="L17" t="s">
        <v>27</v>
      </c>
      <c r="M17">
        <f t="shared" si="0"/>
        <v>8.5017091769655537E-2</v>
      </c>
      <c r="O17">
        <f t="shared" si="1"/>
        <v>5.7777777777777775E-2</v>
      </c>
      <c r="P17">
        <f t="shared" si="2"/>
        <v>7.1153846153846151E-2</v>
      </c>
    </row>
    <row r="18" spans="1:22">
      <c r="A18" t="s">
        <v>10</v>
      </c>
      <c r="B18" s="11"/>
      <c r="C18" s="20" t="s">
        <v>20</v>
      </c>
      <c r="D18" s="20"/>
      <c r="E18" s="20"/>
      <c r="F18" s="9" t="s">
        <v>19</v>
      </c>
      <c r="G18" s="9"/>
      <c r="H18" s="9"/>
      <c r="J18" s="9"/>
      <c r="L18" t="s">
        <v>28</v>
      </c>
      <c r="M18">
        <f t="shared" si="0"/>
        <v>5.6591563275434242E-2</v>
      </c>
      <c r="O18">
        <f t="shared" si="1"/>
        <v>0.16</v>
      </c>
      <c r="P18">
        <f t="shared" si="2"/>
        <v>5.0324232081911266E-2</v>
      </c>
    </row>
    <row r="19" spans="1:22">
      <c r="A19" t="s">
        <v>22</v>
      </c>
      <c r="B19" s="18"/>
      <c r="C19" s="20"/>
      <c r="D19" s="20"/>
      <c r="E19" s="20"/>
      <c r="G19" s="9"/>
      <c r="H19" s="9"/>
      <c r="J19" s="9"/>
      <c r="L19" t="s">
        <v>29</v>
      </c>
      <c r="M19">
        <f t="shared" si="0"/>
        <v>4.7963442717328726E-2</v>
      </c>
      <c r="O19">
        <f t="shared" si="1"/>
        <v>5.5555555555555558E-3</v>
      </c>
      <c r="P19">
        <f t="shared" si="2"/>
        <v>3.5470085470085469E-2</v>
      </c>
    </row>
    <row r="20" spans="1:22">
      <c r="A20" t="s">
        <v>15</v>
      </c>
      <c r="B20" s="1"/>
      <c r="C20" s="1" t="s">
        <v>7</v>
      </c>
      <c r="D20" s="1" t="s">
        <v>21</v>
      </c>
      <c r="E20" s="1" t="s">
        <v>12</v>
      </c>
      <c r="F20" s="1" t="s">
        <v>7</v>
      </c>
      <c r="G20" s="1" t="s">
        <v>21</v>
      </c>
      <c r="H20" s="1" t="s">
        <v>12</v>
      </c>
      <c r="L20" t="s">
        <v>30</v>
      </c>
      <c r="M20">
        <f>M11/Q11</f>
        <v>4.2571433985144763E-2</v>
      </c>
      <c r="O20">
        <f t="shared" si="1"/>
        <v>2.3297491039426525E-2</v>
      </c>
      <c r="P20">
        <f t="shared" si="2"/>
        <v>3.2964939024390245E-2</v>
      </c>
    </row>
    <row r="21" spans="1:22">
      <c r="A21" s="68" t="s">
        <v>0</v>
      </c>
      <c r="B21" s="13" t="s">
        <v>3</v>
      </c>
      <c r="C21" s="14">
        <v>2091</v>
      </c>
      <c r="D21" s="13">
        <v>3</v>
      </c>
      <c r="E21" s="13">
        <v>438</v>
      </c>
      <c r="F21" s="13">
        <v>24720</v>
      </c>
      <c r="G21" s="13">
        <v>80</v>
      </c>
      <c r="H21" s="13">
        <v>6240</v>
      </c>
      <c r="L21" t="s">
        <v>31</v>
      </c>
      <c r="M21">
        <f>M12/Q12</f>
        <v>4.397573752412462E-2</v>
      </c>
      <c r="O21">
        <f t="shared" si="1"/>
        <v>2.7777777777777776E-2</v>
      </c>
      <c r="P21">
        <f t="shared" si="2"/>
        <v>3.8206295032233599E-2</v>
      </c>
    </row>
    <row r="22" spans="1:22" ht="15.75" thickBot="1">
      <c r="A22" s="68"/>
      <c r="B22" t="s">
        <v>4</v>
      </c>
      <c r="C22" s="4">
        <v>7372</v>
      </c>
      <c r="D22" s="4">
        <v>104</v>
      </c>
      <c r="E22" s="4">
        <v>1417</v>
      </c>
      <c r="F22" s="4">
        <v>60848</v>
      </c>
      <c r="G22" s="4">
        <f>208+944</f>
        <v>1152</v>
      </c>
      <c r="H22" s="4">
        <v>13312</v>
      </c>
    </row>
    <row r="23" spans="1:22" ht="15.75" thickBot="1">
      <c r="A23" s="68"/>
      <c r="B23" s="13" t="s">
        <v>5</v>
      </c>
      <c r="C23" s="13">
        <v>12900</v>
      </c>
      <c r="D23" s="13">
        <f>221+13</f>
        <v>234</v>
      </c>
      <c r="E23" s="13">
        <v>2724</v>
      </c>
      <c r="F23" s="13">
        <v>161200</v>
      </c>
      <c r="G23" s="13">
        <f>832+416</f>
        <v>1248</v>
      </c>
      <c r="H23" s="13">
        <v>37504</v>
      </c>
      <c r="L23" s="70" t="s">
        <v>33</v>
      </c>
      <c r="M23" s="61"/>
      <c r="N23" s="70" t="s">
        <v>34</v>
      </c>
      <c r="O23" s="60"/>
      <c r="P23" s="71"/>
      <c r="Q23" s="59" t="s">
        <v>20</v>
      </c>
      <c r="R23" s="60"/>
      <c r="S23" s="61"/>
    </row>
    <row r="24" spans="1:22">
      <c r="A24" s="68" t="s">
        <v>1</v>
      </c>
      <c r="B24" t="s">
        <v>3</v>
      </c>
      <c r="C24" s="5">
        <v>2398</v>
      </c>
      <c r="D24" s="4">
        <v>2</v>
      </c>
      <c r="E24" s="4">
        <v>465</v>
      </c>
      <c r="F24" s="4">
        <v>38600</v>
      </c>
      <c r="G24" s="4">
        <v>125</v>
      </c>
      <c r="H24" s="4">
        <v>9750</v>
      </c>
      <c r="L24" s="62" t="s">
        <v>35</v>
      </c>
      <c r="M24" s="63"/>
      <c r="N24" s="66" t="s">
        <v>7</v>
      </c>
      <c r="O24" s="66" t="s">
        <v>21</v>
      </c>
      <c r="P24" s="22" t="s">
        <v>37</v>
      </c>
      <c r="Q24" s="66" t="s">
        <v>7</v>
      </c>
      <c r="R24" s="66" t="s">
        <v>21</v>
      </c>
      <c r="S24" s="22" t="s">
        <v>37</v>
      </c>
      <c r="T24" t="s">
        <v>39</v>
      </c>
    </row>
    <row r="25" spans="1:22" ht="15.75" thickBot="1">
      <c r="A25" s="68"/>
      <c r="B25" s="13" t="s">
        <v>4</v>
      </c>
      <c r="C25" s="13">
        <v>8083</v>
      </c>
      <c r="D25" s="13">
        <v>104</v>
      </c>
      <c r="E25" s="13">
        <v>1480</v>
      </c>
      <c r="F25" s="13">
        <v>95075</v>
      </c>
      <c r="G25" s="13">
        <f>1475+325</f>
        <v>1800</v>
      </c>
      <c r="H25" s="13">
        <v>20800</v>
      </c>
      <c r="L25" s="64" t="s">
        <v>36</v>
      </c>
      <c r="M25" s="65"/>
      <c r="N25" s="67"/>
      <c r="O25" s="67"/>
      <c r="P25" s="23" t="s">
        <v>38</v>
      </c>
      <c r="Q25" s="67"/>
      <c r="R25" s="67"/>
      <c r="S25" s="23" t="s">
        <v>38</v>
      </c>
    </row>
    <row r="26" spans="1:22" ht="15.75" thickBot="1">
      <c r="A26" s="68"/>
      <c r="B26" t="s">
        <v>5</v>
      </c>
      <c r="C26" s="5">
        <v>14254</v>
      </c>
      <c r="D26" s="4">
        <f>208+104</f>
        <v>312</v>
      </c>
      <c r="E26" s="4">
        <v>2949</v>
      </c>
      <c r="F26" s="4">
        <v>251875</v>
      </c>
      <c r="G26">
        <f>1300+650</f>
        <v>1950</v>
      </c>
      <c r="H26" s="4">
        <v>58600</v>
      </c>
      <c r="L26" s="73"/>
      <c r="M26" s="23" t="s">
        <v>3</v>
      </c>
      <c r="N26" s="25">
        <v>24720</v>
      </c>
      <c r="O26" s="26">
        <v>80</v>
      </c>
      <c r="P26" s="25">
        <v>6240</v>
      </c>
      <c r="Q26" s="25">
        <v>2091</v>
      </c>
      <c r="R26" s="26">
        <v>3</v>
      </c>
      <c r="S26" s="26">
        <v>438</v>
      </c>
      <c r="T26" s="27">
        <f>1-Q26/N26</f>
        <v>0.9154126213592233</v>
      </c>
      <c r="U26" s="27">
        <f>1-R26/O26</f>
        <v>0.96250000000000002</v>
      </c>
      <c r="V26" s="27">
        <f>1-S26/P26</f>
        <v>0.92980769230769234</v>
      </c>
    </row>
    <row r="27" spans="1:22" ht="15.75" thickBot="1">
      <c r="A27" s="68" t="s">
        <v>6</v>
      </c>
      <c r="B27" s="13" t="s">
        <v>3</v>
      </c>
      <c r="C27" s="15">
        <v>2666</v>
      </c>
      <c r="D27" s="13">
        <v>1</v>
      </c>
      <c r="E27" s="13">
        <v>498</v>
      </c>
      <c r="F27" s="16">
        <v>55584</v>
      </c>
      <c r="G27" s="16">
        <v>180</v>
      </c>
      <c r="H27" s="16">
        <v>14040</v>
      </c>
      <c r="L27" s="74"/>
      <c r="M27" s="23" t="s">
        <v>4</v>
      </c>
      <c r="N27" s="25">
        <v>60848</v>
      </c>
      <c r="O27" s="25">
        <v>1152</v>
      </c>
      <c r="P27" s="25">
        <v>13312</v>
      </c>
      <c r="Q27" s="25">
        <v>7372</v>
      </c>
      <c r="R27" s="26">
        <v>104</v>
      </c>
      <c r="S27" s="25">
        <v>1417</v>
      </c>
      <c r="T27" s="27">
        <f t="shared" ref="T27:T34" si="3">1-Q27/N27</f>
        <v>0.87884564817249544</v>
      </c>
      <c r="U27" s="27">
        <f t="shared" ref="U27:U34" si="4">1-R27/O27</f>
        <v>0.90972222222222221</v>
      </c>
      <c r="V27" s="27">
        <f t="shared" ref="V27:V34" si="5">1-S27/P27</f>
        <v>0.8935546875</v>
      </c>
    </row>
    <row r="28" spans="1:22" ht="15.75" thickBot="1">
      <c r="A28" s="68"/>
      <c r="B28" t="s">
        <v>4</v>
      </c>
      <c r="C28" s="19">
        <v>8987</v>
      </c>
      <c r="D28" s="4">
        <v>104</v>
      </c>
      <c r="E28" s="4">
        <v>1557</v>
      </c>
      <c r="F28" s="10">
        <v>211104</v>
      </c>
      <c r="G28">
        <f>3492+972</f>
        <v>4464</v>
      </c>
      <c r="H28" s="10">
        <v>47232</v>
      </c>
      <c r="L28" s="75"/>
      <c r="M28" s="23" t="s">
        <v>5</v>
      </c>
      <c r="N28" s="25">
        <v>161200</v>
      </c>
      <c r="O28" s="25">
        <v>1248</v>
      </c>
      <c r="P28" s="25">
        <v>37504</v>
      </c>
      <c r="Q28" s="25">
        <v>12900</v>
      </c>
      <c r="R28" s="26">
        <v>234</v>
      </c>
      <c r="S28" s="25">
        <v>2724</v>
      </c>
      <c r="T28" s="27">
        <f t="shared" si="3"/>
        <v>0.91997518610421836</v>
      </c>
      <c r="U28" s="27">
        <f t="shared" si="4"/>
        <v>0.8125</v>
      </c>
      <c r="V28" s="27">
        <f t="shared" si="5"/>
        <v>0.92736774744027306</v>
      </c>
    </row>
    <row r="29" spans="1:22" ht="15.75" thickBot="1">
      <c r="A29" s="68"/>
      <c r="B29" s="13" t="s">
        <v>5</v>
      </c>
      <c r="C29" s="13">
        <v>15950</v>
      </c>
      <c r="D29" s="13">
        <f>52+26</f>
        <v>78</v>
      </c>
      <c r="E29" s="13">
        <v>3224</v>
      </c>
      <c r="F29" s="16">
        <v>362700</v>
      </c>
      <c r="G29" s="13">
        <f>1872+936</f>
        <v>2808</v>
      </c>
      <c r="H29" s="16">
        <v>84384</v>
      </c>
      <c r="L29" s="73"/>
      <c r="M29" s="23" t="s">
        <v>3</v>
      </c>
      <c r="N29" s="25">
        <v>38600</v>
      </c>
      <c r="O29" s="26">
        <v>125</v>
      </c>
      <c r="P29" s="25">
        <v>9750</v>
      </c>
      <c r="Q29" s="25">
        <v>2398</v>
      </c>
      <c r="R29" s="26">
        <v>2</v>
      </c>
      <c r="S29" s="26">
        <v>465</v>
      </c>
      <c r="T29" s="27">
        <f t="shared" si="3"/>
        <v>0.93787564766839382</v>
      </c>
      <c r="U29" s="27">
        <f t="shared" si="4"/>
        <v>0.98399999999999999</v>
      </c>
      <c r="V29" s="27">
        <f t="shared" si="5"/>
        <v>0.9523076923076923</v>
      </c>
    </row>
    <row r="30" spans="1:22" ht="15.75" thickBot="1">
      <c r="L30" s="74"/>
      <c r="M30" s="23" t="s">
        <v>4</v>
      </c>
      <c r="N30" s="25">
        <v>95075</v>
      </c>
      <c r="O30" s="25">
        <v>1800</v>
      </c>
      <c r="P30" s="25">
        <v>20800</v>
      </c>
      <c r="Q30" s="25">
        <v>8083</v>
      </c>
      <c r="R30" s="26">
        <v>104</v>
      </c>
      <c r="S30" s="25">
        <v>1480</v>
      </c>
      <c r="T30" s="27">
        <f t="shared" si="3"/>
        <v>0.91498290823034445</v>
      </c>
      <c r="U30" s="27">
        <f t="shared" si="4"/>
        <v>0.94222222222222218</v>
      </c>
      <c r="V30" s="27">
        <f t="shared" si="5"/>
        <v>0.92884615384615388</v>
      </c>
    </row>
    <row r="31" spans="1:22" ht="15.75" thickBot="1">
      <c r="L31" s="75"/>
      <c r="M31" s="23" t="s">
        <v>5</v>
      </c>
      <c r="N31" s="25">
        <v>251875</v>
      </c>
      <c r="O31" s="25">
        <v>1950</v>
      </c>
      <c r="P31" s="25">
        <v>58600</v>
      </c>
      <c r="Q31" s="25">
        <v>14254</v>
      </c>
      <c r="R31" s="26">
        <v>312</v>
      </c>
      <c r="S31" s="25">
        <v>2949</v>
      </c>
      <c r="T31" s="27">
        <f t="shared" si="3"/>
        <v>0.94340843672456576</v>
      </c>
      <c r="U31" s="27">
        <f t="shared" si="4"/>
        <v>0.84</v>
      </c>
      <c r="V31" s="27">
        <f t="shared" si="5"/>
        <v>0.94967576791808872</v>
      </c>
    </row>
    <row r="32" spans="1:22" ht="15.75" thickBot="1">
      <c r="L32" s="73"/>
      <c r="M32" s="23" t="s">
        <v>3</v>
      </c>
      <c r="N32" s="25">
        <v>55584</v>
      </c>
      <c r="O32" s="26">
        <v>180</v>
      </c>
      <c r="P32" s="25">
        <v>14040</v>
      </c>
      <c r="Q32" s="25">
        <v>2666</v>
      </c>
      <c r="R32" s="26">
        <v>1</v>
      </c>
      <c r="S32" s="26">
        <v>498</v>
      </c>
      <c r="T32" s="27">
        <f t="shared" si="3"/>
        <v>0.95203655728267123</v>
      </c>
      <c r="U32" s="27">
        <f t="shared" si="4"/>
        <v>0.99444444444444446</v>
      </c>
      <c r="V32" s="27">
        <f t="shared" si="5"/>
        <v>0.96452991452991454</v>
      </c>
    </row>
    <row r="33" spans="2:22" ht="15.75" thickBot="1">
      <c r="D33" t="s">
        <v>20</v>
      </c>
      <c r="E33" t="s">
        <v>19</v>
      </c>
      <c r="L33" s="74"/>
      <c r="M33" s="23" t="s">
        <v>4</v>
      </c>
      <c r="N33" s="25">
        <v>211104</v>
      </c>
      <c r="O33" s="25">
        <v>4464</v>
      </c>
      <c r="P33" s="25">
        <v>47232</v>
      </c>
      <c r="Q33" s="25">
        <v>8987</v>
      </c>
      <c r="R33" s="26">
        <v>104</v>
      </c>
      <c r="S33" s="25">
        <v>1557</v>
      </c>
      <c r="T33" s="27">
        <f t="shared" si="3"/>
        <v>0.95742856601485526</v>
      </c>
      <c r="U33" s="27">
        <f t="shared" si="4"/>
        <v>0.97670250896057342</v>
      </c>
      <c r="V33" s="27">
        <f t="shared" si="5"/>
        <v>0.96703506097560976</v>
      </c>
    </row>
    <row r="34" spans="2:22" ht="15.75" thickBot="1">
      <c r="D34" s="72" t="s">
        <v>7</v>
      </c>
      <c r="E34" s="72"/>
      <c r="F34" t="s">
        <v>32</v>
      </c>
      <c r="L34" s="75"/>
      <c r="M34" s="23" t="s">
        <v>5</v>
      </c>
      <c r="N34" s="25">
        <v>362700</v>
      </c>
      <c r="O34" s="25">
        <v>2808</v>
      </c>
      <c r="P34" s="25">
        <v>84384</v>
      </c>
      <c r="Q34" s="25">
        <v>15950</v>
      </c>
      <c r="R34" s="26">
        <v>78</v>
      </c>
      <c r="S34" s="25">
        <v>3224</v>
      </c>
      <c r="T34" s="27">
        <f t="shared" si="3"/>
        <v>0.95602426247587535</v>
      </c>
      <c r="U34" s="27">
        <f t="shared" si="4"/>
        <v>0.97222222222222221</v>
      </c>
      <c r="V34" s="27">
        <f t="shared" si="5"/>
        <v>0.96179370496776639</v>
      </c>
    </row>
    <row r="35" spans="2:22">
      <c r="B35" s="68" t="s">
        <v>0</v>
      </c>
      <c r="C35" s="13" t="s">
        <v>3</v>
      </c>
      <c r="D35" s="14">
        <v>2091</v>
      </c>
      <c r="E35" s="13">
        <v>24720</v>
      </c>
      <c r="F35" s="21">
        <f>D35/E35</f>
        <v>8.45873786407767E-2</v>
      </c>
      <c r="G35" s="21">
        <f>1-F35</f>
        <v>0.9154126213592233</v>
      </c>
      <c r="S35" t="s">
        <v>40</v>
      </c>
      <c r="T35" s="28">
        <f>AVERAGE(T26,T27,T28,T29,T30,T31,T32,T33,T34)</f>
        <v>0.9306655371147381</v>
      </c>
      <c r="U35" s="28">
        <f>AVERAGE(U26:U34)</f>
        <v>0.93270151334129836</v>
      </c>
      <c r="V35" s="28">
        <f>AVERAGE(V26:V34)</f>
        <v>0.94165760242146568</v>
      </c>
    </row>
    <row r="36" spans="2:22">
      <c r="B36" s="68"/>
      <c r="C36" t="s">
        <v>4</v>
      </c>
      <c r="D36" s="4">
        <v>7372</v>
      </c>
      <c r="E36" s="4">
        <v>60848</v>
      </c>
      <c r="F36" s="21">
        <f>D36/E36</f>
        <v>0.1211543518275046</v>
      </c>
      <c r="G36" s="21">
        <f t="shared" ref="G36:G43" si="6">1-F36</f>
        <v>0.87884564817249544</v>
      </c>
    </row>
    <row r="37" spans="2:22">
      <c r="B37" s="68"/>
      <c r="C37" s="13" t="s">
        <v>5</v>
      </c>
      <c r="D37" s="13">
        <v>12900</v>
      </c>
      <c r="E37" s="13">
        <v>161200</v>
      </c>
      <c r="F37" s="21">
        <f t="shared" ref="F37:F43" si="7">D37/E37</f>
        <v>8.0024813895781644E-2</v>
      </c>
      <c r="G37" s="21">
        <f t="shared" si="6"/>
        <v>0.91997518610421836</v>
      </c>
    </row>
    <row r="38" spans="2:22">
      <c r="B38" s="68" t="s">
        <v>1</v>
      </c>
      <c r="C38" t="s">
        <v>3</v>
      </c>
      <c r="D38" s="5">
        <v>2398</v>
      </c>
      <c r="E38" s="4">
        <v>38600</v>
      </c>
      <c r="F38" s="21">
        <f t="shared" si="7"/>
        <v>6.2124352331606215E-2</v>
      </c>
      <c r="G38" s="21">
        <f t="shared" si="6"/>
        <v>0.93787564766839382</v>
      </c>
    </row>
    <row r="39" spans="2:22">
      <c r="B39" s="68"/>
      <c r="C39" s="13" t="s">
        <v>4</v>
      </c>
      <c r="D39" s="13">
        <v>8083</v>
      </c>
      <c r="E39" s="13">
        <v>95075</v>
      </c>
      <c r="F39" s="21">
        <f t="shared" si="7"/>
        <v>8.5017091769655537E-2</v>
      </c>
      <c r="G39" s="21">
        <f>1-F39</f>
        <v>0.91498290823034445</v>
      </c>
    </row>
    <row r="40" spans="2:22">
      <c r="B40" s="68"/>
      <c r="C40" t="s">
        <v>5</v>
      </c>
      <c r="D40" s="5">
        <v>14254</v>
      </c>
      <c r="E40" s="4">
        <v>251875</v>
      </c>
      <c r="F40" s="21">
        <f t="shared" si="7"/>
        <v>5.6591563275434242E-2</v>
      </c>
      <c r="G40" s="21">
        <f t="shared" si="6"/>
        <v>0.94340843672456576</v>
      </c>
    </row>
    <row r="41" spans="2:22">
      <c r="B41" s="68" t="s">
        <v>6</v>
      </c>
      <c r="C41" s="13" t="s">
        <v>3</v>
      </c>
      <c r="D41" s="15">
        <v>2666</v>
      </c>
      <c r="E41" s="16">
        <v>55584</v>
      </c>
      <c r="F41" s="21">
        <f t="shared" si="7"/>
        <v>4.7963442717328726E-2</v>
      </c>
      <c r="G41" s="21">
        <f t="shared" si="6"/>
        <v>0.95203655728267123</v>
      </c>
    </row>
    <row r="42" spans="2:22">
      <c r="B42" s="68"/>
      <c r="C42" t="s">
        <v>4</v>
      </c>
      <c r="D42" s="19">
        <v>8987</v>
      </c>
      <c r="E42" s="10">
        <v>211104</v>
      </c>
      <c r="F42" s="21">
        <f t="shared" si="7"/>
        <v>4.2571433985144763E-2</v>
      </c>
      <c r="G42" s="21">
        <f t="shared" si="6"/>
        <v>0.95742856601485526</v>
      </c>
    </row>
    <row r="43" spans="2:22">
      <c r="B43" s="68"/>
      <c r="C43" s="13" t="s">
        <v>5</v>
      </c>
      <c r="D43" s="13">
        <v>15950</v>
      </c>
      <c r="E43" s="16">
        <v>362700</v>
      </c>
      <c r="F43" s="21">
        <f t="shared" si="7"/>
        <v>4.397573752412462E-2</v>
      </c>
      <c r="G43" s="21">
        <f t="shared" si="6"/>
        <v>0.95602426247587535</v>
      </c>
    </row>
    <row r="44" spans="2:22">
      <c r="G44" s="21">
        <f>SUM(G35,G36,G37,G38,G39,G40,G42,G41,G43)/9</f>
        <v>0.9306655371147381</v>
      </c>
    </row>
  </sheetData>
  <mergeCells count="23">
    <mergeCell ref="B35:B37"/>
    <mergeCell ref="B38:B40"/>
    <mergeCell ref="B41:B43"/>
    <mergeCell ref="D34:E34"/>
    <mergeCell ref="L23:M23"/>
    <mergeCell ref="L26:L28"/>
    <mergeCell ref="L29:L31"/>
    <mergeCell ref="L32:L34"/>
    <mergeCell ref="A21:A23"/>
    <mergeCell ref="A24:A26"/>
    <mergeCell ref="A27:A29"/>
    <mergeCell ref="M1:P2"/>
    <mergeCell ref="K4:K6"/>
    <mergeCell ref="K7:K9"/>
    <mergeCell ref="K10:K12"/>
    <mergeCell ref="N23:P23"/>
    <mergeCell ref="Q23:S23"/>
    <mergeCell ref="L24:M24"/>
    <mergeCell ref="L25:M25"/>
    <mergeCell ref="N24:N25"/>
    <mergeCell ref="O24:O25"/>
    <mergeCell ref="Q24:Q25"/>
    <mergeCell ref="R24:R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3F89-0D3C-4135-9E9C-A73F04054247}">
  <dimension ref="A1:P25"/>
  <sheetViews>
    <sheetView zoomScale="115" zoomScaleNormal="115" workbookViewId="0">
      <selection activeCell="C6" sqref="C6"/>
    </sheetView>
  </sheetViews>
  <sheetFormatPr defaultRowHeight="15"/>
  <cols>
    <col min="1" max="1" width="18" customWidth="1"/>
    <col min="2" max="2" width="9.42578125" customWidth="1"/>
    <col min="3" max="3" width="10" customWidth="1"/>
    <col min="7" max="7" width="10.85546875" customWidth="1"/>
    <col min="10" max="10" width="10" customWidth="1"/>
    <col min="11" max="11" width="20.85546875" customWidth="1"/>
    <col min="12" max="12" width="10.7109375" customWidth="1"/>
    <col min="13" max="13" width="9.7109375" customWidth="1"/>
  </cols>
  <sheetData>
    <row r="1" spans="1:16">
      <c r="A1" t="s">
        <v>10</v>
      </c>
      <c r="B1" s="11"/>
      <c r="C1" s="69" t="s">
        <v>20</v>
      </c>
      <c r="D1" s="69"/>
      <c r="E1" s="69"/>
      <c r="F1" s="69"/>
      <c r="G1" s="9" t="s">
        <v>19</v>
      </c>
      <c r="H1" s="9"/>
      <c r="I1" s="9"/>
      <c r="J1" s="9"/>
      <c r="L1" s="8"/>
    </row>
    <row r="2" spans="1:16">
      <c r="B2" s="7"/>
      <c r="C2" s="69"/>
      <c r="D2" s="69"/>
      <c r="E2" s="69"/>
      <c r="F2" s="69"/>
      <c r="G2" s="9"/>
      <c r="H2" s="9"/>
      <c r="I2" s="9"/>
      <c r="J2" s="9"/>
      <c r="N2" s="17"/>
    </row>
    <row r="3" spans="1:16">
      <c r="A3" t="s">
        <v>15</v>
      </c>
      <c r="B3" s="1"/>
      <c r="C3" s="1" t="s">
        <v>7</v>
      </c>
      <c r="D3" s="1" t="s">
        <v>9</v>
      </c>
      <c r="E3" s="1" t="s">
        <v>21</v>
      </c>
      <c r="F3" s="1" t="s">
        <v>12</v>
      </c>
      <c r="G3" s="1" t="s">
        <v>7</v>
      </c>
      <c r="H3" s="1" t="s">
        <v>9</v>
      </c>
      <c r="I3" s="1" t="s">
        <v>21</v>
      </c>
      <c r="J3" s="1" t="s">
        <v>12</v>
      </c>
      <c r="L3" s="72" t="s">
        <v>3</v>
      </c>
      <c r="M3" s="72"/>
      <c r="N3" t="s">
        <v>18</v>
      </c>
      <c r="O3" s="1"/>
      <c r="P3" s="1"/>
    </row>
    <row r="4" spans="1:16">
      <c r="A4" s="68" t="s">
        <v>0</v>
      </c>
      <c r="B4" s="13" t="s">
        <v>3</v>
      </c>
      <c r="C4" s="14">
        <v>1963</v>
      </c>
      <c r="D4" s="13">
        <v>0</v>
      </c>
      <c r="E4" s="13">
        <v>3</v>
      </c>
      <c r="F4" s="13">
        <v>422</v>
      </c>
      <c r="G4" s="13">
        <v>24720</v>
      </c>
      <c r="H4" s="13">
        <v>0</v>
      </c>
      <c r="I4" s="13">
        <v>80</v>
      </c>
      <c r="J4" s="13">
        <v>6240</v>
      </c>
      <c r="L4" s="4" t="s">
        <v>16</v>
      </c>
      <c r="M4" s="5">
        <f>C7-C4</f>
        <v>235</v>
      </c>
      <c r="N4" s="4">
        <f>M4/9</f>
        <v>26.111111111111111</v>
      </c>
      <c r="O4" s="11">
        <f>G7-G4</f>
        <v>13880</v>
      </c>
      <c r="P4" s="11">
        <f>O4/9</f>
        <v>1542.2222222222222</v>
      </c>
    </row>
    <row r="5" spans="1:16">
      <c r="A5" s="68"/>
      <c r="B5" t="s">
        <v>4</v>
      </c>
      <c r="C5" s="4">
        <v>6899</v>
      </c>
      <c r="D5" s="4">
        <v>16</v>
      </c>
      <c r="E5" s="4">
        <v>49</v>
      </c>
      <c r="F5" s="4">
        <v>1385</v>
      </c>
      <c r="G5" s="4">
        <v>60848</v>
      </c>
      <c r="H5" s="4">
        <v>0</v>
      </c>
      <c r="I5" s="4">
        <f>208+944</f>
        <v>1152</v>
      </c>
      <c r="J5" s="4">
        <v>13312</v>
      </c>
      <c r="L5" s="4" t="s">
        <v>17</v>
      </c>
      <c r="M5" s="12">
        <f>C10-C7</f>
        <v>175</v>
      </c>
      <c r="N5" s="4">
        <f>M5/11</f>
        <v>15.909090909090908</v>
      </c>
      <c r="O5" s="11">
        <f>G10-G7</f>
        <v>16984</v>
      </c>
      <c r="P5" s="11">
        <f>O5/11</f>
        <v>1544</v>
      </c>
    </row>
    <row r="6" spans="1:16">
      <c r="A6" s="68"/>
      <c r="B6" s="13" t="s">
        <v>5</v>
      </c>
      <c r="C6" s="13">
        <v>11263</v>
      </c>
      <c r="D6" s="13">
        <v>16</v>
      </c>
      <c r="E6" s="13">
        <v>208</v>
      </c>
      <c r="F6" s="13">
        <v>2452</v>
      </c>
      <c r="G6" s="13">
        <v>161200</v>
      </c>
      <c r="H6" s="13">
        <v>0</v>
      </c>
      <c r="I6" s="13">
        <f>832+416</f>
        <v>1248</v>
      </c>
      <c r="J6" s="13">
        <v>37504</v>
      </c>
      <c r="L6" s="72" t="s">
        <v>4</v>
      </c>
      <c r="M6" s="72"/>
      <c r="O6" s="11"/>
      <c r="P6" s="11"/>
    </row>
    <row r="7" spans="1:16">
      <c r="A7" s="68" t="s">
        <v>1</v>
      </c>
      <c r="B7" t="s">
        <v>3</v>
      </c>
      <c r="C7" s="5">
        <v>2198</v>
      </c>
      <c r="D7" s="4">
        <v>0</v>
      </c>
      <c r="E7" s="4">
        <v>2</v>
      </c>
      <c r="F7" s="4">
        <v>440</v>
      </c>
      <c r="G7" s="4">
        <v>38600</v>
      </c>
      <c r="H7" s="4">
        <v>0</v>
      </c>
      <c r="I7" s="4">
        <v>125</v>
      </c>
      <c r="J7" s="4">
        <v>9750</v>
      </c>
      <c r="L7" s="4" t="s">
        <v>16</v>
      </c>
      <c r="M7" s="6">
        <f>C8-C5</f>
        <v>424</v>
      </c>
      <c r="N7" s="4">
        <f>M7/9</f>
        <v>47.111111111111114</v>
      </c>
      <c r="O7" s="11">
        <f>G8-G5</f>
        <v>34227</v>
      </c>
      <c r="P7" s="11">
        <f>O7/9</f>
        <v>3803</v>
      </c>
    </row>
    <row r="8" spans="1:16">
      <c r="A8" s="68"/>
      <c r="B8" s="13" t="s">
        <v>4</v>
      </c>
      <c r="C8" s="13">
        <v>7323</v>
      </c>
      <c r="D8" s="13">
        <v>25</v>
      </c>
      <c r="E8" s="13">
        <v>104</v>
      </c>
      <c r="F8" s="13">
        <v>1430</v>
      </c>
      <c r="G8" s="13">
        <v>95075</v>
      </c>
      <c r="H8" s="13">
        <v>0</v>
      </c>
      <c r="I8" s="13">
        <f>1475+325</f>
        <v>1800</v>
      </c>
      <c r="J8" s="13">
        <v>20800</v>
      </c>
      <c r="L8" s="4" t="s">
        <v>17</v>
      </c>
      <c r="M8" s="4">
        <f>C11-C8</f>
        <v>551</v>
      </c>
      <c r="N8" s="4">
        <f>M8/11</f>
        <v>50.090909090909093</v>
      </c>
      <c r="O8" s="11">
        <f>G11-G8</f>
        <v>116029</v>
      </c>
      <c r="P8" s="11">
        <f>O8/11</f>
        <v>10548.09090909091</v>
      </c>
    </row>
    <row r="9" spans="1:16">
      <c r="A9" s="68"/>
      <c r="B9" t="s">
        <v>5</v>
      </c>
      <c r="C9" s="4">
        <v>11967</v>
      </c>
      <c r="D9" s="4">
        <v>25</v>
      </c>
      <c r="E9" s="4">
        <v>234</v>
      </c>
      <c r="F9" s="4">
        <v>2524</v>
      </c>
      <c r="G9" s="4">
        <v>251875</v>
      </c>
      <c r="H9" s="4">
        <v>0</v>
      </c>
      <c r="I9">
        <f>1300+650</f>
        <v>1950</v>
      </c>
      <c r="J9" s="4">
        <v>58600</v>
      </c>
      <c r="L9" s="76" t="s">
        <v>5</v>
      </c>
      <c r="M9" s="76"/>
      <c r="O9" s="11"/>
      <c r="P9" s="11"/>
    </row>
    <row r="10" spans="1:16">
      <c r="A10" s="68" t="s">
        <v>6</v>
      </c>
      <c r="B10" s="13" t="s">
        <v>3</v>
      </c>
      <c r="C10" s="15">
        <v>2373</v>
      </c>
      <c r="D10" s="13">
        <v>0</v>
      </c>
      <c r="E10" s="13">
        <v>1</v>
      </c>
      <c r="F10" s="13">
        <v>462</v>
      </c>
      <c r="G10" s="16">
        <v>55584</v>
      </c>
      <c r="H10" s="16">
        <v>0</v>
      </c>
      <c r="I10" s="16">
        <v>180</v>
      </c>
      <c r="J10" s="16">
        <v>14040</v>
      </c>
      <c r="L10" s="4" t="s">
        <v>16</v>
      </c>
      <c r="M10" s="4">
        <f>C9-C6</f>
        <v>704</v>
      </c>
      <c r="N10" s="4">
        <f>M10/9</f>
        <v>78.222222222222229</v>
      </c>
      <c r="O10" s="11">
        <f>G9-G6</f>
        <v>90675</v>
      </c>
      <c r="P10" s="11">
        <f>O10/9</f>
        <v>10075</v>
      </c>
    </row>
    <row r="11" spans="1:16">
      <c r="A11" s="68"/>
      <c r="B11" t="s">
        <v>4</v>
      </c>
      <c r="C11" s="4">
        <v>7874</v>
      </c>
      <c r="D11" s="4">
        <v>36</v>
      </c>
      <c r="E11" s="4">
        <v>104</v>
      </c>
      <c r="F11" s="4">
        <v>1485</v>
      </c>
      <c r="G11" s="10">
        <v>211104</v>
      </c>
      <c r="H11" s="10">
        <v>0</v>
      </c>
      <c r="I11">
        <f>3492+972</f>
        <v>4464</v>
      </c>
      <c r="J11" s="10">
        <v>47232</v>
      </c>
      <c r="L11" s="4" t="s">
        <v>17</v>
      </c>
      <c r="M11" s="4">
        <f>C12-C9</f>
        <v>850</v>
      </c>
      <c r="N11" s="4">
        <f>M11/11</f>
        <v>77.272727272727266</v>
      </c>
      <c r="O11" s="11">
        <f>G12-G9</f>
        <v>110825</v>
      </c>
      <c r="P11" s="11">
        <f>O11/11</f>
        <v>10075</v>
      </c>
    </row>
    <row r="12" spans="1:16">
      <c r="A12" s="68"/>
      <c r="B12" s="13" t="s">
        <v>5</v>
      </c>
      <c r="C12" s="13">
        <v>12817</v>
      </c>
      <c r="D12" s="13">
        <v>36</v>
      </c>
      <c r="E12" s="13">
        <v>182</v>
      </c>
      <c r="F12" s="13">
        <v>2612</v>
      </c>
      <c r="G12" s="16">
        <v>362700</v>
      </c>
      <c r="H12" s="16">
        <v>0</v>
      </c>
      <c r="I12" s="13">
        <f>1872+936</f>
        <v>2808</v>
      </c>
      <c r="J12" s="16">
        <v>84384</v>
      </c>
    </row>
    <row r="13" spans="1:16">
      <c r="C13" s="4"/>
      <c r="D13" s="4"/>
      <c r="E13" s="4"/>
      <c r="F13" s="4"/>
      <c r="G13" s="4"/>
      <c r="H13" s="4"/>
      <c r="I13" s="4"/>
      <c r="J13" s="4"/>
      <c r="K13" s="4"/>
      <c r="N13" s="4"/>
    </row>
    <row r="14" spans="1:16">
      <c r="N14" s="4"/>
    </row>
    <row r="16" spans="1:16">
      <c r="B16" s="1"/>
      <c r="C16" s="1"/>
      <c r="D16" s="1"/>
      <c r="E16" s="1"/>
      <c r="F16" s="1"/>
      <c r="G16" s="1"/>
    </row>
    <row r="17" spans="1:1">
      <c r="A17" s="68"/>
    </row>
    <row r="18" spans="1:1">
      <c r="A18" s="68"/>
    </row>
    <row r="19" spans="1:1">
      <c r="A19" s="68"/>
    </row>
    <row r="20" spans="1:1">
      <c r="A20" s="68"/>
    </row>
    <row r="21" spans="1:1">
      <c r="A21" s="68"/>
    </row>
    <row r="22" spans="1:1">
      <c r="A22" s="68"/>
    </row>
    <row r="23" spans="1:1">
      <c r="A23" s="68"/>
    </row>
    <row r="24" spans="1:1">
      <c r="A24" s="68"/>
    </row>
    <row r="25" spans="1:1">
      <c r="A25" s="68"/>
    </row>
  </sheetData>
  <mergeCells count="10">
    <mergeCell ref="C1:F2"/>
    <mergeCell ref="A23:A25"/>
    <mergeCell ref="L3:M3"/>
    <mergeCell ref="L6:M6"/>
    <mergeCell ref="L9:M9"/>
    <mergeCell ref="A17:A19"/>
    <mergeCell ref="A20:A22"/>
    <mergeCell ref="A7:A9"/>
    <mergeCell ref="A10:A12"/>
    <mergeCell ref="A4:A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9417-2615-4FDC-9E60-923D86CBBF32}">
  <dimension ref="A1:H12"/>
  <sheetViews>
    <sheetView zoomScale="115" zoomScaleNormal="115" workbookViewId="0">
      <selection activeCell="E6" sqref="E6"/>
    </sheetView>
  </sheetViews>
  <sheetFormatPr defaultRowHeight="15"/>
  <cols>
    <col min="1" max="1" width="21.28515625" customWidth="1"/>
    <col min="7" max="7" width="12.42578125" customWidth="1"/>
  </cols>
  <sheetData>
    <row r="1" spans="1:8">
      <c r="A1" t="s">
        <v>13</v>
      </c>
      <c r="B1" s="77" t="s">
        <v>2</v>
      </c>
      <c r="C1" s="77"/>
      <c r="D1" s="77"/>
      <c r="E1" s="77"/>
      <c r="F1" s="77"/>
      <c r="G1" s="2"/>
      <c r="H1" s="2"/>
    </row>
    <row r="2" spans="1:8">
      <c r="B2" s="3"/>
      <c r="C2" s="3"/>
      <c r="D2" s="3"/>
      <c r="E2" s="3"/>
      <c r="F2" s="3"/>
      <c r="G2" s="2"/>
      <c r="H2" s="2"/>
    </row>
    <row r="3" spans="1:8">
      <c r="B3" s="1"/>
      <c r="C3" s="1" t="s">
        <v>7</v>
      </c>
      <c r="D3" s="1" t="s">
        <v>8</v>
      </c>
      <c r="E3" s="1" t="s">
        <v>9</v>
      </c>
      <c r="F3" s="1" t="s">
        <v>11</v>
      </c>
      <c r="G3" s="1" t="s">
        <v>12</v>
      </c>
      <c r="H3" s="1" t="s">
        <v>14</v>
      </c>
    </row>
    <row r="4" spans="1:8">
      <c r="A4" s="68" t="s">
        <v>0</v>
      </c>
      <c r="B4" t="s">
        <v>3</v>
      </c>
      <c r="C4">
        <v>2033</v>
      </c>
      <c r="D4">
        <v>146</v>
      </c>
    </row>
    <row r="5" spans="1:8">
      <c r="A5" s="68"/>
      <c r="B5" t="s">
        <v>4</v>
      </c>
    </row>
    <row r="6" spans="1:8">
      <c r="A6" s="68"/>
      <c r="B6" t="s">
        <v>5</v>
      </c>
    </row>
    <row r="7" spans="1:8">
      <c r="A7" s="68" t="s">
        <v>1</v>
      </c>
      <c r="B7" t="s">
        <v>3</v>
      </c>
      <c r="C7">
        <v>2618</v>
      </c>
      <c r="D7">
        <v>701</v>
      </c>
      <c r="G7">
        <v>464</v>
      </c>
      <c r="H7">
        <v>60</v>
      </c>
    </row>
    <row r="8" spans="1:8">
      <c r="A8" s="68"/>
      <c r="B8" t="s">
        <v>4</v>
      </c>
    </row>
    <row r="9" spans="1:8">
      <c r="A9" s="68"/>
      <c r="B9" t="s">
        <v>5</v>
      </c>
    </row>
    <row r="10" spans="1:8">
      <c r="A10" s="68" t="s">
        <v>6</v>
      </c>
      <c r="B10" t="s">
        <v>3</v>
      </c>
    </row>
    <row r="11" spans="1:8">
      <c r="A11" s="68"/>
      <c r="B11" t="s">
        <v>4</v>
      </c>
    </row>
    <row r="12" spans="1:8">
      <c r="A12" s="68"/>
      <c r="B12" t="s">
        <v>5</v>
      </c>
    </row>
  </sheetData>
  <mergeCells count="4">
    <mergeCell ref="B1:F1"/>
    <mergeCell ref="A4:A6"/>
    <mergeCell ref="A7:A9"/>
    <mergeCell ref="A10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R_Q_table_result</vt:lpstr>
      <vt:lpstr>Power_table</vt:lpstr>
      <vt:lpstr>design compiler</vt:lpstr>
      <vt:lpstr>pynq ip time table</vt:lpstr>
      <vt:lpstr>Paper Table</vt:lpstr>
      <vt:lpstr>zero DSP</vt:lpstr>
      <vt:lpstr>synthesis outcome</vt:lpstr>
      <vt:lpstr>pynq_implementation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E411_71</dc:creator>
  <cp:lastModifiedBy>E411_71</cp:lastModifiedBy>
  <dcterms:created xsi:type="dcterms:W3CDTF">2022-02-21T17:22:58Z</dcterms:created>
  <dcterms:modified xsi:type="dcterms:W3CDTF">2022-07-04T11:30:16Z</dcterms:modified>
</cp:coreProperties>
</file>