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d.docs.live.net/ca9ccbbb0bd9c947/Documents/post_2020-10/professional/R_projects/Fourier-series/links/"/>
    </mc:Choice>
  </mc:AlternateContent>
  <xr:revisionPtr revIDLastSave="107" documentId="11_F25DC773A252ABDACC10489E81DE69C45BDE58E8" xr6:coauthVersionLast="47" xr6:coauthVersionMax="47" xr10:uidLastSave="{A8498374-BF2C-4C82-A619-2025DDB00B53}"/>
  <bookViews>
    <workbookView xWindow="2406" yWindow="2382" windowWidth="18864" windowHeight="11136" xr2:uid="{00000000-000D-0000-FFFF-FFFF00000000}"/>
  </bookViews>
  <sheets>
    <sheet name="toc" sheetId="2" r:id="rId1"/>
    <sheet name="e_books" sheetId="4" r:id="rId2"/>
    <sheet name="data" sheetId="5" r:id="rId3"/>
    <sheet name="NRES_src_dnld" sheetId="6" r:id="rId4"/>
    <sheet name="templates" sheetId="3" r:id="rId5"/>
  </sheets>
  <externalReferences>
    <externalReference r:id="rId6"/>
    <externalReference r:id="rId7"/>
  </externalReferences>
  <definedNames>
    <definedName name="_xlnm._FilterDatabase" localSheetId="2" hidden="1">data!$A$5:$A$5</definedName>
    <definedName name="_xlnm._FilterDatabase" localSheetId="1" hidden="1">e_books!$A$5:$A$5</definedName>
    <definedName name="_xlnm._FilterDatabase" localSheetId="3" hidden="1">NRES_src_dnld!$A$5:$A$5</definedName>
    <definedName name="_xlnm._FilterDatabase" localSheetId="4" hidden="1">templates!$A$5:$M$5</definedName>
    <definedName name="_xlnm._FilterDatabase" localSheetId="0" hidden="1">toc!$A$5:$A$5</definedName>
    <definedName name="all_Buyers">[1]pct_per_factor!$D$1:$D$65536</definedName>
    <definedName name="corr">[2]statistics!$A$2</definedName>
    <definedName name="noOct">[1]pct_per_factor!$A$6:$IV$6</definedName>
    <definedName name="_xlnm.Print_Titles" localSheetId="2">data!$A:$A,data!$1:$1</definedName>
    <definedName name="_xlnm.Print_Titles" localSheetId="1">e_books!$A:$A,e_books!$1:$1</definedName>
    <definedName name="_xlnm.Print_Titles" localSheetId="3">NRES_src_dnld!$A:$A,NRES_src_dnld!$1:$1</definedName>
    <definedName name="_xlnm.Print_Titles" localSheetId="4">templates!$A:$A,templates!$1:$1</definedName>
    <definedName name="_xlnm.Print_Titles" localSheetId="0">toc!$A:$A,toc!$1:$1</definedName>
    <definedName name="yesOct">[1]pct_per_factor!$A$7:$IV$7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0" i="3" l="1"/>
  <c r="L60" i="3" s="1"/>
  <c r="C60" i="3"/>
  <c r="D59" i="3"/>
  <c r="J59" i="3" s="1"/>
  <c r="C59" i="3"/>
  <c r="L58" i="3"/>
  <c r="I58" i="3"/>
  <c r="K58" i="3" s="1"/>
  <c r="G58" i="3"/>
  <c r="D58" i="3"/>
  <c r="H58" i="3" s="1"/>
  <c r="C58" i="3"/>
  <c r="L57" i="3"/>
  <c r="J57" i="3"/>
  <c r="I57" i="3"/>
  <c r="K57" i="3" s="1"/>
  <c r="G57" i="3"/>
  <c r="E57" i="3"/>
  <c r="D57" i="3"/>
  <c r="F57" i="3" s="1"/>
  <c r="C57" i="3"/>
  <c r="J56" i="3"/>
  <c r="I56" i="3"/>
  <c r="K56" i="3" s="1"/>
  <c r="H56" i="3"/>
  <c r="G56" i="3"/>
  <c r="E56" i="3"/>
  <c r="D56" i="3"/>
  <c r="L56" i="3" s="1"/>
  <c r="C56" i="3"/>
  <c r="L55" i="3"/>
  <c r="H55" i="3"/>
  <c r="G55" i="3"/>
  <c r="F55" i="3"/>
  <c r="E55" i="3"/>
  <c r="D55" i="3"/>
  <c r="J55" i="3" s="1"/>
  <c r="C55" i="3"/>
  <c r="J54" i="3"/>
  <c r="F54" i="3"/>
  <c r="E54" i="3"/>
  <c r="D54" i="3"/>
  <c r="L54" i="3" s="1"/>
  <c r="C54" i="3"/>
  <c r="I53" i="3"/>
  <c r="K53" i="3" s="1"/>
  <c r="H53" i="3"/>
  <c r="D53" i="3"/>
  <c r="J53" i="3" s="1"/>
  <c r="C53" i="3"/>
  <c r="L52" i="3"/>
  <c r="J52" i="3"/>
  <c r="I52" i="3"/>
  <c r="K52" i="3" s="1"/>
  <c r="G52" i="3"/>
  <c r="F52" i="3"/>
  <c r="E52" i="3"/>
  <c r="D52" i="3"/>
  <c r="H52" i="3" s="1"/>
  <c r="C52" i="3"/>
  <c r="K51" i="3"/>
  <c r="I51" i="3"/>
  <c r="G51" i="3"/>
  <c r="E51" i="3"/>
  <c r="D51" i="3"/>
  <c r="F51" i="3" s="1"/>
  <c r="C51" i="3"/>
  <c r="B51" i="3"/>
  <c r="D50" i="3"/>
  <c r="E50" i="3" s="1"/>
  <c r="C50" i="3"/>
  <c r="B50" i="3"/>
  <c r="J49" i="3"/>
  <c r="I49" i="3"/>
  <c r="K49" i="3" s="1"/>
  <c r="H49" i="3"/>
  <c r="G49" i="3"/>
  <c r="F49" i="3"/>
  <c r="E49" i="3"/>
  <c r="D49" i="3"/>
  <c r="L49" i="3" s="1"/>
  <c r="C49" i="3"/>
  <c r="B49" i="3"/>
  <c r="D48" i="3"/>
  <c r="L48" i="3" s="1"/>
  <c r="C48" i="3"/>
  <c r="B48" i="3"/>
  <c r="L47" i="3"/>
  <c r="H47" i="3"/>
  <c r="G47" i="3"/>
  <c r="E47" i="3"/>
  <c r="D47" i="3"/>
  <c r="J47" i="3" s="1"/>
  <c r="C47" i="3"/>
  <c r="B47" i="3"/>
  <c r="L46" i="3"/>
  <c r="D46" i="3"/>
  <c r="J46" i="3" s="1"/>
  <c r="C46" i="3"/>
  <c r="B46" i="3"/>
  <c r="K45" i="3"/>
  <c r="J45" i="3"/>
  <c r="I45" i="3"/>
  <c r="F45" i="3"/>
  <c r="E45" i="3"/>
  <c r="D45" i="3"/>
  <c r="L45" i="3" s="1"/>
  <c r="C45" i="3"/>
  <c r="B45" i="3"/>
  <c r="L44" i="3"/>
  <c r="J44" i="3"/>
  <c r="D44" i="3"/>
  <c r="I44" i="3" s="1"/>
  <c r="K44" i="3" s="1"/>
  <c r="C44" i="3"/>
  <c r="B44" i="3"/>
  <c r="I43" i="3"/>
  <c r="K43" i="3" s="1"/>
  <c r="H43" i="3"/>
  <c r="G43" i="3"/>
  <c r="D43" i="3"/>
  <c r="J43" i="3" s="1"/>
  <c r="C43" i="3"/>
  <c r="L42" i="3"/>
  <c r="J42" i="3"/>
  <c r="I42" i="3"/>
  <c r="K42" i="3" s="1"/>
  <c r="G42" i="3"/>
  <c r="F42" i="3"/>
  <c r="E42" i="3"/>
  <c r="D42" i="3"/>
  <c r="H42" i="3" s="1"/>
  <c r="C42" i="3"/>
  <c r="B42" i="3"/>
  <c r="L41" i="3"/>
  <c r="J41" i="3"/>
  <c r="H41" i="3"/>
  <c r="F41" i="3"/>
  <c r="D41" i="3"/>
  <c r="G41" i="3" s="1"/>
  <c r="C41" i="3"/>
  <c r="D40" i="3"/>
  <c r="E40" i="3" s="1"/>
  <c r="C40" i="3"/>
  <c r="B40" i="3"/>
  <c r="L39" i="3"/>
  <c r="J39" i="3"/>
  <c r="I39" i="3"/>
  <c r="K39" i="3" s="1"/>
  <c r="H39" i="3"/>
  <c r="G39" i="3"/>
  <c r="F39" i="3"/>
  <c r="E39" i="3"/>
  <c r="D39" i="3"/>
  <c r="C39" i="3"/>
  <c r="B39" i="3"/>
  <c r="D38" i="3"/>
  <c r="L38" i="3" s="1"/>
  <c r="C38" i="3"/>
  <c r="L37" i="3"/>
  <c r="D37" i="3"/>
  <c r="J37" i="3" s="1"/>
  <c r="C37" i="3"/>
  <c r="B37" i="3"/>
  <c r="K36" i="3"/>
  <c r="J36" i="3"/>
  <c r="I36" i="3"/>
  <c r="F36" i="3"/>
  <c r="E36" i="3"/>
  <c r="D36" i="3"/>
  <c r="L36" i="3" s="1"/>
  <c r="C36" i="3"/>
  <c r="I35" i="3"/>
  <c r="K35" i="3" s="1"/>
  <c r="H35" i="3"/>
  <c r="G35" i="3"/>
  <c r="D35" i="3"/>
  <c r="J35" i="3" s="1"/>
  <c r="C35" i="3"/>
  <c r="B35" i="3"/>
  <c r="L34" i="3"/>
  <c r="K34" i="3"/>
  <c r="J34" i="3"/>
  <c r="I34" i="3"/>
  <c r="H34" i="3"/>
  <c r="G34" i="3"/>
  <c r="F34" i="3"/>
  <c r="E34" i="3"/>
  <c r="D34" i="3"/>
  <c r="C34" i="3"/>
  <c r="B34" i="3"/>
  <c r="I33" i="3"/>
  <c r="K33" i="3" s="1"/>
  <c r="G33" i="3"/>
  <c r="E33" i="3"/>
  <c r="D33" i="3"/>
  <c r="H33" i="3" s="1"/>
  <c r="C33" i="3"/>
  <c r="B33" i="3"/>
  <c r="J32" i="3"/>
  <c r="H32" i="3"/>
  <c r="F32" i="3"/>
  <c r="D32" i="3"/>
  <c r="G32" i="3" s="1"/>
  <c r="C32" i="3"/>
  <c r="B32" i="3"/>
  <c r="I31" i="3"/>
  <c r="K31" i="3" s="1"/>
  <c r="G31" i="3"/>
  <c r="E31" i="3"/>
  <c r="D31" i="3"/>
  <c r="F31" i="3" s="1"/>
  <c r="C31" i="3"/>
  <c r="L30" i="3"/>
  <c r="J30" i="3"/>
  <c r="I30" i="3"/>
  <c r="K30" i="3" s="1"/>
  <c r="H30" i="3"/>
  <c r="G30" i="3"/>
  <c r="F30" i="3"/>
  <c r="E30" i="3"/>
  <c r="D30" i="3"/>
  <c r="C30" i="3"/>
  <c r="B30" i="3"/>
  <c r="F29" i="3"/>
  <c r="D29" i="3"/>
  <c r="L29" i="3" s="1"/>
  <c r="C29" i="3"/>
  <c r="B29" i="3"/>
  <c r="L28" i="3"/>
  <c r="J28" i="3"/>
  <c r="G28" i="3"/>
  <c r="E28" i="3"/>
  <c r="D28" i="3"/>
  <c r="I28" i="3" s="1"/>
  <c r="K28" i="3" s="1"/>
  <c r="C28" i="3"/>
  <c r="B28" i="3"/>
  <c r="L27" i="3"/>
  <c r="D27" i="3"/>
  <c r="J27" i="3" s="1"/>
  <c r="C27" i="3"/>
  <c r="B27" i="3"/>
  <c r="K26" i="3"/>
  <c r="J26" i="3"/>
  <c r="I26" i="3"/>
  <c r="H26" i="3"/>
  <c r="F26" i="3"/>
  <c r="E26" i="3"/>
  <c r="D26" i="3"/>
  <c r="L26" i="3" s="1"/>
  <c r="C26" i="3"/>
  <c r="B26" i="3"/>
  <c r="J25" i="3"/>
  <c r="D25" i="3"/>
  <c r="I25" i="3" s="1"/>
  <c r="K25" i="3" s="1"/>
  <c r="C25" i="3"/>
  <c r="L24" i="3"/>
  <c r="K24" i="3"/>
  <c r="J24" i="3"/>
  <c r="I24" i="3"/>
  <c r="H24" i="3"/>
  <c r="G24" i="3"/>
  <c r="F24" i="3"/>
  <c r="E24" i="3"/>
  <c r="D24" i="3"/>
  <c r="C24" i="3"/>
  <c r="B24" i="3"/>
  <c r="I23" i="3"/>
  <c r="K23" i="3" s="1"/>
  <c r="G23" i="3"/>
  <c r="E23" i="3"/>
  <c r="D23" i="3"/>
  <c r="H23" i="3" s="1"/>
  <c r="C23" i="3"/>
  <c r="I22" i="3"/>
  <c r="K22" i="3" s="1"/>
  <c r="G22" i="3"/>
  <c r="E22" i="3"/>
  <c r="D22" i="3"/>
  <c r="F22" i="3" s="1"/>
  <c r="C22" i="3"/>
  <c r="L21" i="3"/>
  <c r="J21" i="3"/>
  <c r="I21" i="3"/>
  <c r="K21" i="3" s="1"/>
  <c r="H21" i="3"/>
  <c r="G21" i="3"/>
  <c r="F21" i="3"/>
  <c r="E21" i="3"/>
  <c r="D21" i="3"/>
  <c r="C21" i="3"/>
  <c r="L20" i="3"/>
  <c r="J20" i="3"/>
  <c r="G20" i="3"/>
  <c r="E20" i="3"/>
  <c r="D20" i="3"/>
  <c r="I20" i="3" s="1"/>
  <c r="K20" i="3" s="1"/>
  <c r="C20" i="3"/>
  <c r="B20" i="3"/>
  <c r="L19" i="3"/>
  <c r="D19" i="3"/>
  <c r="J19" i="3" s="1"/>
  <c r="C19" i="3"/>
  <c r="L18" i="3"/>
  <c r="J18" i="3"/>
  <c r="I18" i="3"/>
  <c r="K18" i="3" s="1"/>
  <c r="H18" i="3"/>
  <c r="G18" i="3"/>
  <c r="F18" i="3"/>
  <c r="E18" i="3"/>
  <c r="C18" i="3"/>
  <c r="I17" i="3"/>
  <c r="K17" i="3" s="1"/>
  <c r="G17" i="3"/>
  <c r="D17" i="3"/>
  <c r="H17" i="3" s="1"/>
  <c r="C17" i="3"/>
  <c r="I16" i="3"/>
  <c r="K16" i="3" s="1"/>
  <c r="G16" i="3"/>
  <c r="E16" i="3"/>
  <c r="D16" i="3"/>
  <c r="F16" i="3" s="1"/>
  <c r="C16" i="3"/>
  <c r="B16" i="3"/>
  <c r="D15" i="3"/>
  <c r="E15" i="3" s="1"/>
  <c r="C15" i="3"/>
  <c r="D14" i="3"/>
  <c r="L14" i="3" s="1"/>
  <c r="C14" i="3"/>
  <c r="L13" i="3"/>
  <c r="D13" i="3"/>
  <c r="J13" i="3" s="1"/>
  <c r="C13" i="3"/>
  <c r="L12" i="3"/>
  <c r="J12" i="3"/>
  <c r="I12" i="3"/>
  <c r="K12" i="3" s="1"/>
  <c r="H12" i="3"/>
  <c r="G12" i="3"/>
  <c r="D12" i="3"/>
  <c r="F12" i="3" s="1"/>
  <c r="C12" i="3"/>
  <c r="L11" i="3"/>
  <c r="K11" i="3"/>
  <c r="J11" i="3"/>
  <c r="I11" i="3"/>
  <c r="H11" i="3"/>
  <c r="G11" i="3"/>
  <c r="F11" i="3"/>
  <c r="E11" i="3"/>
  <c r="D11" i="3"/>
  <c r="C11" i="3"/>
  <c r="B11" i="3"/>
  <c r="I10" i="3"/>
  <c r="K10" i="3" s="1"/>
  <c r="G10" i="3"/>
  <c r="D10" i="3"/>
  <c r="H10" i="3" s="1"/>
  <c r="C10" i="3"/>
  <c r="I9" i="3"/>
  <c r="K9" i="3" s="1"/>
  <c r="G9" i="3"/>
  <c r="E9" i="3"/>
  <c r="D9" i="3"/>
  <c r="F9" i="3" s="1"/>
  <c r="C9" i="3"/>
  <c r="L8" i="3"/>
  <c r="J8" i="3"/>
  <c r="I8" i="3"/>
  <c r="K8" i="3" s="1"/>
  <c r="H8" i="3"/>
  <c r="G8" i="3"/>
  <c r="F8" i="3"/>
  <c r="E8" i="3"/>
  <c r="D8" i="3"/>
  <c r="C8" i="3"/>
  <c r="L7" i="3"/>
  <c r="J7" i="3"/>
  <c r="G7" i="3"/>
  <c r="E7" i="3"/>
  <c r="D7" i="3"/>
  <c r="I7" i="3" s="1"/>
  <c r="C7" i="3"/>
  <c r="K6" i="3"/>
  <c r="J6" i="3"/>
  <c r="I6" i="3"/>
  <c r="H6" i="3"/>
  <c r="F6" i="3"/>
  <c r="E6" i="3"/>
  <c r="D6" i="3"/>
  <c r="L6" i="3" s="1"/>
  <c r="C6" i="3"/>
  <c r="C5" i="3" s="1"/>
  <c r="M5" i="3"/>
  <c r="B5" i="3"/>
  <c r="D3" i="3"/>
  <c r="B5" i="2"/>
  <c r="K7" i="3" l="1"/>
  <c r="K5" i="3" s="1"/>
  <c r="F15" i="3"/>
  <c r="L25" i="3"/>
  <c r="F40" i="3"/>
  <c r="F50" i="3"/>
  <c r="H9" i="3"/>
  <c r="J10" i="3"/>
  <c r="E14" i="3"/>
  <c r="G15" i="3"/>
  <c r="H16" i="3"/>
  <c r="J17" i="3"/>
  <c r="H22" i="3"/>
  <c r="J23" i="3"/>
  <c r="E29" i="3"/>
  <c r="H31" i="3"/>
  <c r="I32" i="3"/>
  <c r="K32" i="3" s="1"/>
  <c r="J33" i="3"/>
  <c r="L35" i="3"/>
  <c r="E38" i="3"/>
  <c r="G40" i="3"/>
  <c r="I41" i="3"/>
  <c r="K41" i="3" s="1"/>
  <c r="L43" i="3"/>
  <c r="E48" i="3"/>
  <c r="G50" i="3"/>
  <c r="H51" i="3"/>
  <c r="L53" i="3"/>
  <c r="F56" i="3"/>
  <c r="H57" i="3"/>
  <c r="J58" i="3"/>
  <c r="L59" i="3"/>
  <c r="F14" i="3"/>
  <c r="H15" i="3"/>
  <c r="F38" i="3"/>
  <c r="H40" i="3"/>
  <c r="F48" i="3"/>
  <c r="H50" i="3"/>
  <c r="F7" i="3"/>
  <c r="F5" i="3" s="1"/>
  <c r="J9" i="3"/>
  <c r="L10" i="3"/>
  <c r="L5" i="3" s="1"/>
  <c r="E13" i="3"/>
  <c r="G14" i="3"/>
  <c r="I15" i="3"/>
  <c r="K15" i="3" s="1"/>
  <c r="J16" i="3"/>
  <c r="L17" i="3"/>
  <c r="E19" i="3"/>
  <c r="F20" i="3"/>
  <c r="J22" i="3"/>
  <c r="L23" i="3"/>
  <c r="E27" i="3"/>
  <c r="E5" i="3" s="1"/>
  <c r="F28" i="3"/>
  <c r="G29" i="3"/>
  <c r="J31" i="3"/>
  <c r="L33" i="3"/>
  <c r="E37" i="3"/>
  <c r="G38" i="3"/>
  <c r="I40" i="3"/>
  <c r="K40" i="3" s="1"/>
  <c r="E46" i="3"/>
  <c r="F47" i="3"/>
  <c r="G48" i="3"/>
  <c r="I50" i="3"/>
  <c r="K50" i="3" s="1"/>
  <c r="J51" i="3"/>
  <c r="F13" i="3"/>
  <c r="H14" i="3"/>
  <c r="J15" i="3"/>
  <c r="F19" i="3"/>
  <c r="F27" i="3"/>
  <c r="H29" i="3"/>
  <c r="H38" i="3"/>
  <c r="F46" i="3"/>
  <c r="H48" i="3"/>
  <c r="J50" i="3"/>
  <c r="E60" i="3"/>
  <c r="H7" i="3"/>
  <c r="H2" i="3" s="1"/>
  <c r="G19" i="3"/>
  <c r="H20" i="3"/>
  <c r="L22" i="3"/>
  <c r="E25" i="3"/>
  <c r="G27" i="3"/>
  <c r="H28" i="3"/>
  <c r="I29" i="3"/>
  <c r="K29" i="3" s="1"/>
  <c r="L31" i="3"/>
  <c r="G37" i="3"/>
  <c r="I38" i="3"/>
  <c r="K38" i="3" s="1"/>
  <c r="E44" i="3"/>
  <c r="G46" i="3"/>
  <c r="I48" i="3"/>
  <c r="K48" i="3" s="1"/>
  <c r="L51" i="3"/>
  <c r="F60" i="3"/>
  <c r="D5" i="3"/>
  <c r="L32" i="3"/>
  <c r="F37" i="3"/>
  <c r="J40" i="3"/>
  <c r="L9" i="3"/>
  <c r="E12" i="3"/>
  <c r="G13" i="3"/>
  <c r="I14" i="3"/>
  <c r="K14" i="3" s="1"/>
  <c r="L16" i="3"/>
  <c r="L3" i="3" s="1"/>
  <c r="D4" i="3"/>
  <c r="G6" i="3"/>
  <c r="H13" i="3"/>
  <c r="J14" i="3"/>
  <c r="L15" i="3"/>
  <c r="H19" i="3"/>
  <c r="F25" i="3"/>
  <c r="G26" i="3"/>
  <c r="H27" i="3"/>
  <c r="J29" i="3"/>
  <c r="E35" i="3"/>
  <c r="G36" i="3"/>
  <c r="H37" i="3"/>
  <c r="J38" i="3"/>
  <c r="L40" i="3"/>
  <c r="E43" i="3"/>
  <c r="F44" i="3"/>
  <c r="G45" i="3"/>
  <c r="H46" i="3"/>
  <c r="I47" i="3"/>
  <c r="K47" i="3" s="1"/>
  <c r="J48" i="3"/>
  <c r="L50" i="3"/>
  <c r="E53" i="3"/>
  <c r="G54" i="3"/>
  <c r="I55" i="3"/>
  <c r="K55" i="3" s="1"/>
  <c r="E59" i="3"/>
  <c r="G60" i="3"/>
  <c r="I13" i="3"/>
  <c r="K13" i="3" s="1"/>
  <c r="I19" i="3"/>
  <c r="K19" i="3" s="1"/>
  <c r="G25" i="3"/>
  <c r="I27" i="3"/>
  <c r="K27" i="3" s="1"/>
  <c r="F35" i="3"/>
  <c r="H36" i="3"/>
  <c r="I37" i="3"/>
  <c r="K37" i="3" s="1"/>
  <c r="F43" i="3"/>
  <c r="G44" i="3"/>
  <c r="H45" i="3"/>
  <c r="I46" i="3"/>
  <c r="K46" i="3" s="1"/>
  <c r="F53" i="3"/>
  <c r="H54" i="3"/>
  <c r="F59" i="3"/>
  <c r="H60" i="3"/>
  <c r="D2" i="3"/>
  <c r="E10" i="3"/>
  <c r="E17" i="3"/>
  <c r="E4" i="3" s="1"/>
  <c r="H25" i="3"/>
  <c r="H44" i="3"/>
  <c r="G53" i="3"/>
  <c r="I54" i="3"/>
  <c r="K54" i="3" s="1"/>
  <c r="E58" i="3"/>
  <c r="G59" i="3"/>
  <c r="I60" i="3"/>
  <c r="K60" i="3" s="1"/>
  <c r="F10" i="3"/>
  <c r="F17" i="3"/>
  <c r="F23" i="3"/>
  <c r="E32" i="3"/>
  <c r="F33" i="3"/>
  <c r="E41" i="3"/>
  <c r="F58" i="3"/>
  <c r="H59" i="3"/>
  <c r="J60" i="3"/>
  <c r="I59" i="3"/>
  <c r="K59" i="3" s="1"/>
  <c r="L2" i="3" l="1"/>
  <c r="E3" i="3"/>
  <c r="I3" i="3"/>
  <c r="I2" i="3"/>
  <c r="I5" i="3"/>
  <c r="I4" i="3"/>
  <c r="G4" i="3"/>
  <c r="G5" i="3"/>
  <c r="G2" i="3"/>
  <c r="G3" i="3"/>
  <c r="E2" i="3"/>
  <c r="H5" i="3"/>
  <c r="L4" i="3"/>
  <c r="J2" i="3"/>
  <c r="J5" i="3"/>
  <c r="J3" i="3"/>
  <c r="J4" i="3"/>
  <c r="H3" i="3"/>
  <c r="H4" i="3"/>
  <c r="F4" i="3"/>
  <c r="F3" i="3"/>
  <c r="F2" i="3"/>
</calcChain>
</file>

<file path=xl/sharedStrings.xml><?xml version="1.0" encoding="utf-8"?>
<sst xmlns="http://schemas.openxmlformats.org/spreadsheetml/2006/main" count="262" uniqueCount="156">
  <si>
    <t>tag</t>
  </si>
  <si>
    <t>tab</t>
  </si>
  <si>
    <t>description</t>
  </si>
  <si>
    <t>updated</t>
  </si>
  <si>
    <t>src_file</t>
  </si>
  <si>
    <t>src_url</t>
  </si>
  <si>
    <t>src_date</t>
  </si>
  <si>
    <t>src_PoC_name</t>
  </si>
  <si>
    <t>src_PoC_id</t>
  </si>
  <si>
    <t>max</t>
  </si>
  <si>
    <t>median</t>
  </si>
  <si>
    <t>min</t>
  </si>
  <si>
    <t>count or sum</t>
  </si>
  <si>
    <t>data</t>
  </si>
  <si>
    <t>is_L10_p</t>
  </si>
  <si>
    <t>text_1</t>
  </si>
  <si>
    <t>real_3</t>
  </si>
  <si>
    <t>int_1</t>
  </si>
  <si>
    <t>pct_0</t>
  </si>
  <si>
    <t>acct_0</t>
  </si>
  <si>
    <t>sci_1</t>
  </si>
  <si>
    <t>date_1</t>
  </si>
  <si>
    <t>date_2</t>
  </si>
  <si>
    <t>day-of-wk_1</t>
  </si>
  <si>
    <t>time_1</t>
  </si>
  <si>
    <t>series</t>
  </si>
  <si>
    <t>zero</t>
  </si>
  <si>
    <t>exp(-3)</t>
  </si>
  <si>
    <t>eleventh</t>
  </si>
  <si>
    <t>exp(-2)</t>
  </si>
  <si>
    <t>TwoPi^(-1.0)</t>
  </si>
  <si>
    <t>Log10(2)</t>
  </si>
  <si>
    <t>PI^(-1.0)</t>
  </si>
  <si>
    <t>exp(-1)</t>
  </si>
  <si>
    <t>TwoPi^(-0.5)</t>
  </si>
  <si>
    <t>Log10(e)</t>
  </si>
  <si>
    <t>Log10(3)</t>
  </si>
  <si>
    <t>PI^(-0.5)</t>
  </si>
  <si>
    <t>gamma</t>
  </si>
  <si>
    <t>ln(2)</t>
  </si>
  <si>
    <t>((-1)^(k-1))/k</t>
  </si>
  <si>
    <t>Log10(5)</t>
  </si>
  <si>
    <t>sin45</t>
  </si>
  <si>
    <t>PI/4</t>
  </si>
  <si>
    <t>((-1)^(k-1))/(2*k - 1)</t>
  </si>
  <si>
    <t>PI^(+2.0)/12</t>
  </si>
  <si>
    <t>((-1)^(k-1))/(k^2)</t>
  </si>
  <si>
    <t>Log10(7)</t>
  </si>
  <si>
    <t>atan_3_4</t>
  </si>
  <si>
    <t>Log10(11)</t>
  </si>
  <si>
    <t>Log10(13)</t>
  </si>
  <si>
    <t>Log10(17)</t>
  </si>
  <si>
    <t>Log10(19)</t>
  </si>
  <si>
    <t>Log10(23)</t>
  </si>
  <si>
    <t>2^(+0.5)</t>
  </si>
  <si>
    <t>Log10(29)</t>
  </si>
  <si>
    <t>Log10(31)</t>
  </si>
  <si>
    <t>Log10(37)</t>
  </si>
  <si>
    <t>Log10(41)</t>
  </si>
  <si>
    <t>phi</t>
  </si>
  <si>
    <t>golden ratio</t>
  </si>
  <si>
    <t>Log10(43)</t>
  </si>
  <si>
    <t>PI^(+2.0)/6</t>
  </si>
  <si>
    <t>k^(-2)</t>
  </si>
  <si>
    <t>Log10(47)</t>
  </si>
  <si>
    <t>Log10(53)</t>
  </si>
  <si>
    <t>3^(+0.5)</t>
  </si>
  <si>
    <t>Log10(59)</t>
  </si>
  <si>
    <t>PI^(+0.5)</t>
  </si>
  <si>
    <t>Log10(61)</t>
  </si>
  <si>
    <t>Log10(67)</t>
  </si>
  <si>
    <t>Log10(71)</t>
  </si>
  <si>
    <t>Log10(73)</t>
  </si>
  <si>
    <t>Log10(79)</t>
  </si>
  <si>
    <t>Log10(83)</t>
  </si>
  <si>
    <t>Log10(89)</t>
  </si>
  <si>
    <t>Log10(97)</t>
  </si>
  <si>
    <t>ln(10)</t>
  </si>
  <si>
    <t>TwoPi^(+0.5)</t>
  </si>
  <si>
    <t>exp(+1)</t>
  </si>
  <si>
    <t>PI</t>
  </si>
  <si>
    <t>10^(+0.5)</t>
  </si>
  <si>
    <t>TwoPi</t>
  </si>
  <si>
    <t>exp(+2)</t>
  </si>
  <si>
    <t>PI^(+2.0)</t>
  </si>
  <si>
    <t>exp(+3)</t>
  </si>
  <si>
    <t>templates</t>
  </si>
  <si>
    <t>date</t>
  </si>
  <si>
    <t>auth_1</t>
  </si>
  <si>
    <t>title</t>
  </si>
  <si>
    <t>url</t>
  </si>
  <si>
    <t>Roger D. Peng</t>
  </si>
  <si>
    <t>A Very Short Course on Time Series Analysis</t>
  </si>
  <si>
    <t>https://bookdown.org/rdpeng/timeseriesbook/</t>
  </si>
  <si>
    <t>Peng_TSA</t>
  </si>
  <si>
    <t>Time Series Analysis</t>
  </si>
  <si>
    <t>Ott_TSA</t>
  </si>
  <si>
    <t>https://kevintshoemaker.github.io/NRES-746/TimeSeries_Draft.html</t>
  </si>
  <si>
    <t>Thomas Ott</t>
  </si>
  <si>
    <t>e_books</t>
  </si>
  <si>
    <t>books, free, online</t>
  </si>
  <si>
    <t>column formatting</t>
  </si>
  <si>
    <t>Tony T</t>
  </si>
  <si>
    <t>tthrall</t>
  </si>
  <si>
    <t>links to time series data sets</t>
  </si>
  <si>
    <t>https://kevintshoemaker.github.io/NRES-746/Links.html</t>
  </si>
  <si>
    <t>Kevin T. Shoemaker</t>
  </si>
  <si>
    <t>Links (for course NRES-746)</t>
  </si>
  <si>
    <t>NRES_links</t>
  </si>
  <si>
    <t>h_0</t>
  </si>
  <si>
    <t>h_1</t>
  </si>
  <si>
    <t>us_gov</t>
  </si>
  <si>
    <t>EPA National Rivers and Streams Assessment(Downloadable data on a national survey of stream water quality)</t>
  </si>
  <si>
    <t>USDA Forest Inventory and Analysis National Program</t>
  </si>
  <si>
    <t>Land Processes DAAC</t>
  </si>
  <si>
    <t>Global Hydrology DAAC</t>
  </si>
  <si>
    <t>Socioeconomic DAAC</t>
  </si>
  <si>
    <t>National Map (Geospatial data on the environment, economy, and people of the US).</t>
  </si>
  <si>
    <t>US Department of Agriculture Census of Agricultural Data (Authoritative data on all aspects of agriculture in the US.)</t>
  </si>
  <si>
    <t>Center for Disease Control &amp; Prevention Data &amp; Statistics (Comprehensive data on all aspects of disease epidemiology.)</t>
  </si>
  <si>
    <t>CDC ArboNet Disease Maps (US County-scale maps of incidence patterns of various vectored diseases)</t>
  </si>
  <si>
    <t>USGS Water Data for the Nation (Hydrological and water-quality data from across the US.)</t>
  </si>
  <si>
    <t>EPA Environmental Dataset Gateway (EPA environmental data portal)</t>
  </si>
  <si>
    <t>The Multi-resolution Land Characteristics Consortium (MRLC) National Land Cover Database (Land cover or land use, canopy cover, and impermeable surface area of the entire US, at a resolution of 30 m x 30 m, based on remote sensing data from satellite imagery.)</t>
  </si>
  <si>
    <r>
      <t>US Fish &amp; Wildlife Service National Wetlands Inventory</t>
    </r>
    <r>
      <rPr>
        <sz val="11"/>
        <color theme="1"/>
        <rFont val="Calibri"/>
        <family val="2"/>
        <scheme val="minor"/>
      </rPr>
      <t> (Wetlands greater than 1 acre are mapped and classified throughout the US, Puerto Rico and US territories. Data can be examined using the </t>
    </r>
    <r>
      <rPr>
        <sz val="11"/>
        <color rgb="FF2FA4E7"/>
        <rFont val="Calibri"/>
        <family val="2"/>
        <scheme val="minor"/>
      </rPr>
      <t>Wetland Mapper</t>
    </r>
    <r>
      <rPr>
        <sz val="11"/>
        <color theme="1"/>
        <rFont val="Calibri"/>
        <family val="2"/>
        <scheme val="minor"/>
      </rPr>
      <t> and then downloaded for use by a GIS application, or can by inspected directly using </t>
    </r>
    <r>
      <rPr>
        <sz val="11"/>
        <color rgb="FF2FA4E7"/>
        <rFont val="Calibri"/>
        <family val="2"/>
        <scheme val="minor"/>
      </rPr>
      <t>Google Earth</t>
    </r>
    <r>
      <rPr>
        <sz val="11"/>
        <color theme="1"/>
        <rFont val="Calibri"/>
        <family val="2"/>
        <scheme val="minor"/>
      </rPr>
      <t>)</t>
    </r>
  </si>
  <si>
    <t>Forest Inventory Data Online (FIDO) (Highly-detailed periodic surveys of forest composition at sites throughout the US.)</t>
  </si>
  <si>
    <t>US Geological Survey (Reports, data analysis, maps, and raw data on a diversity of topics related to environmental science, including biodiversity and emerging diseases.)</t>
  </si>
  <si>
    <t>NOAA National Climate Data Center (Extensive data archives of climate data, including paleoclimate.)</t>
  </si>
  <si>
    <t>NASA Global Change Master Directory (Data on all aspects of global change, includes data on climate, land use, biodiversity and human dimensions.)</t>
  </si>
  <si>
    <t>Oak Ridge National Laboratory Distributed Active Archive Center for Biogeochemical Dynamics(ORNL DAAC) (A NASA-sponsored source for biogeochemical and ecological data and models useful in environmental research.)</t>
  </si>
  <si>
    <t>env_ch</t>
  </si>
  <si>
    <t>Pole to Pole Ecological Research Lattice of Sites (P2ERLS) (Portal to research stations and research networks, including their data archives.)</t>
  </si>
  <si>
    <t>Weatherspark (Visualized time-series data on local climate at sites around the globe.)</t>
  </si>
  <si>
    <t>Long Term Ecological Research (LTER) Network (Network of research stations that have standardized monitoring programs as well as site-specific research. Sites are mandated to make data publicly available on the web.)</t>
  </si>
  <si>
    <t>PRISM Climate Data (one of the most widely-used sites for downloading interpolated climate records for the USA)</t>
  </si>
  <si>
    <t>LANDFIRE Program (Great US-based site for obtaining GIS layers relevant for fire modeling)</t>
  </si>
  <si>
    <t>WorldClim (global climate layers (gridded climate data) with a spatial resolution of about 1 km2)</t>
  </si>
  <si>
    <t>DayMet (gridded estimates of daily weather parameters for North America)</t>
  </si>
  <si>
    <t>bio_div_ch</t>
  </si>
  <si>
    <t>International Union for the Conservation of Nature (IUCN) Redlist (Searchable list of the world’s threatened and endangered plants and animal species on the IUCN Redlist.)</t>
  </si>
  <si>
    <t>National Biological Information Infrastructure (Data archive and clearinghouse for biological data from the US. Also provides standards for metadata.)</t>
  </si>
  <si>
    <t>Biological Inventories of the World’s Protected Areas (databases containing documented, taxonomically harmonized species inventories of plants and animals reported from the world’s protected areas.)</t>
  </si>
  <si>
    <t>Global Biodiversity Information Facility (international network and research infrastructure funded by the world’s governments and aimed at providing anyone, anywhere, open access to data about all types of life on Earth.)</t>
  </si>
  <si>
    <t>Global Population Dynamics Data Base (5000 population size time series for 1400 species, most of which have at least ten years of data. There are data on the natural history of the organism and the location &amp; method of sampling.)</t>
  </si>
  <si>
    <t>USGS Breeding Bird Survey (The BBS is a long-term, large-scale, international avian monitoring program initiated in 1966 to track the status and trends of North American bird populations.)</t>
  </si>
  <si>
    <t>Bird Studies Canada Nature Counts (Bird survey data archive for Canada, includes point counts and many other types of surveys.)</t>
  </si>
  <si>
    <t>Avian Knowledge Network (Archive of aggregated bird surveys from many organizations and studies across throughout the western hemisphere, including Latin America.)</t>
  </si>
  <si>
    <t>NatureServe (Data on species of plants and animals in the Western Hemisphere, including detailed range maps)</t>
  </si>
  <si>
    <t>NEON: National Ecological Observatory Network (NEON collects and provides open data from 81 field sites across the United States that characterize and quantify how our nation’s ecosystems are changing)</t>
  </si>
  <si>
    <t>res_prj</t>
  </si>
  <si>
    <t>Dryad (Data archives for bioscience data from peer-reviewed journal articles from a large consortium of journals)</t>
  </si>
  <si>
    <t>Ecological Society of America (ESA) Data Registry Archive of ecological and environmental data from ESA publications)</t>
  </si>
  <si>
    <t>National Center for Ecological Assessment &amp; Synthesis (NCEAS) Data Repository (Data archive of contributed data sets of all types of ecological data.)</t>
  </si>
  <si>
    <t>EDI Data Portal (NSF-funded iniative to archive data from NSF DEB funded research projects)</t>
  </si>
  <si>
    <t>NRES_src_dnld</t>
  </si>
  <si>
    <t>links to course NRES-746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</si>
</sst>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164" formatCode="[$-409]d\-mmm\-yyyy;@"/>
    <numFmt numFmtId="165" formatCode="#,##0.000"/>
    <numFmt numFmtId="166" formatCode="0.0E+00"/>
    <numFmt numFmtId="167" formatCode="[$-409]dd\-mmm\-yy;@"/>
    <numFmt numFmtId="168" formatCode="[$-409]h:mm\ AM/PM;@"/>
  </numFmts>
  <fonts count="8" x14ac:knownFonts="1">
    <font>
      <sz val="11"/>
      <color theme="1"/>
      <name val="Calibri"/>
      <family val="2"/>
      <scheme val="minor"/>
    </font>
    <font>
      <sz val="11"/>
      <color theme="1"/>
      <name val="Calibri"/>
      <family val="2"/>
      <scheme val="minor"/>
    </font>
    <font>
      <b/>
      <sz val="10"/>
      <color theme="1"/>
      <name val="Calibri"/>
      <family val="2"/>
      <scheme val="minor"/>
    </font>
    <font>
      <i/>
      <sz val="8"/>
      <color theme="1"/>
      <name val="Calibri"/>
      <family val="2"/>
      <scheme val="minor"/>
    </font>
    <font>
      <sz val="10"/>
      <color theme="1"/>
      <name val="Calibri"/>
      <family val="2"/>
      <scheme val="minor"/>
    </font>
    <font>
      <u/>
      <sz val="11"/>
      <color theme="10"/>
      <name val="Calibri"/>
      <family val="2"/>
      <scheme val="minor"/>
    </font>
    <font>
      <sz val="8"/>
      <name val="Calibri"/>
      <family val="2"/>
      <scheme val="minor"/>
    </font>
    <font>
      <sz val="11"/>
      <color rgb="FF2FA4E7"/>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5" fillId="0" borderId="0" applyNumberFormat="0" applyFill="0" applyBorder="0" applyAlignment="0" applyProtection="0"/>
  </cellStyleXfs>
  <cellXfs count="33">
    <xf numFmtId="0" fontId="0" fillId="0" borderId="0" xfId="0"/>
    <xf numFmtId="0" fontId="2" fillId="0" borderId="0" xfId="1" applyFont="1" applyAlignment="1">
      <alignment horizontal="left" vertical="top" indent="1"/>
    </xf>
    <xf numFmtId="164" fontId="2" fillId="0" borderId="0" xfId="1" applyNumberFormat="1" applyFont="1" applyAlignment="1">
      <alignment horizontal="left" vertical="top" indent="1"/>
    </xf>
    <xf numFmtId="0" fontId="3" fillId="0" borderId="0" xfId="1" applyFont="1" applyAlignment="1">
      <alignment horizontal="left" vertical="top" indent="1"/>
    </xf>
    <xf numFmtId="164" fontId="3" fillId="0" borderId="0" xfId="1" applyNumberFormat="1" applyFont="1" applyAlignment="1">
      <alignment horizontal="right" vertical="top" indent="1"/>
    </xf>
    <xf numFmtId="1" fontId="3" fillId="0" borderId="0" xfId="1" applyNumberFormat="1" applyFont="1" applyAlignment="1">
      <alignment horizontal="right" vertical="top" indent="1"/>
    </xf>
    <xf numFmtId="41" fontId="3" fillId="0" borderId="0" xfId="1" applyNumberFormat="1" applyFont="1" applyAlignment="1">
      <alignment horizontal="left" vertical="top" indent="1"/>
    </xf>
    <xf numFmtId="0" fontId="4" fillId="0" borderId="0" xfId="1" applyFont="1" applyAlignment="1">
      <alignment horizontal="left" vertical="top" indent="1"/>
    </xf>
    <xf numFmtId="164" fontId="4" fillId="0" borderId="0" xfId="1" applyNumberFormat="1" applyFont="1" applyAlignment="1">
      <alignment horizontal="right" vertical="top" indent="1"/>
    </xf>
    <xf numFmtId="49" fontId="2" fillId="0" borderId="0" xfId="1" applyNumberFormat="1" applyFont="1" applyAlignment="1">
      <alignment horizontal="left" vertical="top" indent="1"/>
    </xf>
    <xf numFmtId="165" fontId="2" fillId="0" borderId="0" xfId="1" applyNumberFormat="1" applyFont="1" applyAlignment="1">
      <alignment horizontal="right" vertical="top" indent="1"/>
    </xf>
    <xf numFmtId="1" fontId="2" fillId="0" borderId="0" xfId="1" applyNumberFormat="1" applyFont="1" applyAlignment="1">
      <alignment horizontal="left" vertical="top" indent="1"/>
    </xf>
    <xf numFmtId="9" fontId="2" fillId="0" borderId="0" xfId="1" applyNumberFormat="1" applyFont="1" applyAlignment="1">
      <alignment horizontal="left" vertical="top" indent="1"/>
    </xf>
    <xf numFmtId="41" fontId="2" fillId="0" borderId="0" xfId="1" applyNumberFormat="1" applyFont="1" applyAlignment="1">
      <alignment horizontal="left" vertical="top" indent="1"/>
    </xf>
    <xf numFmtId="166" fontId="2" fillId="0" borderId="0" xfId="1" applyNumberFormat="1" applyFont="1" applyAlignment="1">
      <alignment horizontal="left" vertical="top" indent="1"/>
    </xf>
    <xf numFmtId="167" fontId="2" fillId="0" borderId="0" xfId="1" applyNumberFormat="1" applyFont="1" applyAlignment="1">
      <alignment horizontal="left" vertical="top" indent="1"/>
    </xf>
    <xf numFmtId="168" fontId="2" fillId="0" borderId="0" xfId="1" applyNumberFormat="1" applyFont="1" applyAlignment="1">
      <alignment horizontal="left" vertical="top" indent="1"/>
    </xf>
    <xf numFmtId="167" fontId="3" fillId="0" borderId="0" xfId="1" applyNumberFormat="1" applyFont="1" applyAlignment="1">
      <alignment horizontal="right" vertical="top" indent="1"/>
    </xf>
    <xf numFmtId="165" fontId="3" fillId="0" borderId="0" xfId="1" applyNumberFormat="1" applyFont="1" applyAlignment="1">
      <alignment horizontal="right" vertical="top" indent="1"/>
    </xf>
    <xf numFmtId="9" fontId="3" fillId="0" borderId="0" xfId="1" applyNumberFormat="1" applyFont="1" applyAlignment="1">
      <alignment horizontal="right" vertical="top" indent="1"/>
    </xf>
    <xf numFmtId="166" fontId="3" fillId="0" borderId="0" xfId="1" applyNumberFormat="1" applyFont="1" applyAlignment="1">
      <alignment horizontal="left" vertical="top" indent="1"/>
    </xf>
    <xf numFmtId="168" fontId="3" fillId="0" borderId="0" xfId="1" applyNumberFormat="1" applyFont="1" applyAlignment="1">
      <alignment horizontal="right" vertical="top" indent="1"/>
    </xf>
    <xf numFmtId="49" fontId="4" fillId="0" borderId="0" xfId="1" applyNumberFormat="1" applyFont="1" applyAlignment="1">
      <alignment horizontal="left" vertical="top" indent="1"/>
    </xf>
    <xf numFmtId="165" fontId="4" fillId="0" borderId="0" xfId="1" applyNumberFormat="1" applyFont="1" applyAlignment="1">
      <alignment horizontal="right" vertical="top" indent="1"/>
    </xf>
    <xf numFmtId="1" fontId="4" fillId="0" borderId="0" xfId="1" applyNumberFormat="1" applyFont="1" applyAlignment="1">
      <alignment horizontal="right" vertical="top" indent="1"/>
    </xf>
    <xf numFmtId="9" fontId="4" fillId="0" borderId="0" xfId="1" applyNumberFormat="1" applyFont="1" applyAlignment="1">
      <alignment horizontal="right" vertical="top" indent="1"/>
    </xf>
    <xf numFmtId="41" fontId="4" fillId="0" borderId="0" xfId="1" applyNumberFormat="1" applyFont="1" applyAlignment="1">
      <alignment horizontal="left" vertical="top" indent="1"/>
    </xf>
    <xf numFmtId="166" fontId="4" fillId="0" borderId="0" xfId="1" applyNumberFormat="1" applyFont="1" applyAlignment="1">
      <alignment horizontal="left" vertical="top" indent="1"/>
    </xf>
    <xf numFmtId="167" fontId="4" fillId="0" borderId="0" xfId="1" applyNumberFormat="1" applyFont="1" applyAlignment="1">
      <alignment horizontal="right" vertical="top" indent="1"/>
    </xf>
    <xf numFmtId="168" fontId="4" fillId="0" borderId="0" xfId="1" applyNumberFormat="1" applyFont="1" applyAlignment="1">
      <alignment horizontal="right" vertical="top" indent="1"/>
    </xf>
    <xf numFmtId="0" fontId="7" fillId="0" borderId="0" xfId="0" applyFont="1"/>
    <xf numFmtId="0" fontId="5" fillId="0" borderId="0" xfId="2"/>
    <xf numFmtId="0" fontId="5" fillId="0" borderId="0" xfId="2" applyAlignment="1">
      <alignment vertical="center" wrapText="1"/>
    </xf>
  </cellXfs>
  <cellStyles count="3">
    <cellStyle name="Hyperlink" xfId="2" builtinId="8"/>
    <cellStyle name="Normal" xfId="0" builtinId="0"/>
    <cellStyle name="Normal 2" xfId="1" xr:uid="{078DF455-5979-4FD1-A5B0-18718255CB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thrall/My%20Documents/My%20Dropbox/athrall-Dropbox/client_notes/client-notes_2011-Q1/eBP-awareness-GMB-test_2011-H1/spreadsheets/eBP-statistical-power-calcs_2011-02-23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ony%20Thrall/My%20Documents/My%20Dropbox/tthrall_post_2009/professional_post_2005/Stat_XB2/course_content/selected_problems/chpt_10/chpt_10_sec_06_prb_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yout"/>
      <sheetName val="count_per_factor"/>
      <sheetName val="pct_per_factor"/>
      <sheetName val="Pearson_residual_per_factor"/>
      <sheetName val="anticip_delta"/>
      <sheetName val="mean_GMB"/>
      <sheetName val="sd_GMB"/>
      <sheetName val="cv_GMB"/>
      <sheetName val="delta_1_1_p50"/>
      <sheetName val="delta_1_2_p50"/>
      <sheetName val="delta_2_1_p50"/>
      <sheetName val="delta_2_2_p50"/>
      <sheetName val="delta_1_1_p90"/>
      <sheetName val="delta_1_2_p90"/>
      <sheetName val="delta_2_1_p90"/>
      <sheetName val="delta_2_2_p90"/>
      <sheetName val="LTR_scale"/>
      <sheetName val="US_surveyable"/>
      <sheetName val="NPS_smaller_proposal"/>
      <sheetName val="NPS_larger_proposal"/>
      <sheetName val="NPS_responses_40"/>
      <sheetName val="NPS_responses_100"/>
      <sheetName val="NPS_AB_data"/>
      <sheetName val="NPS_CD_data"/>
      <sheetName val="d_CD_LTR"/>
      <sheetName val="r_CD_LTR"/>
      <sheetName val="d_CD_LTR_refine"/>
      <sheetName val="r_CD_LTR_refine"/>
      <sheetName val="d_CD_LTR_expand"/>
      <sheetName val="r_CD_LTR_expand"/>
      <sheetName val="d_CD_NPS"/>
      <sheetName val="r_CD_NPS"/>
      <sheetName val="d_CD_NPS_refine"/>
      <sheetName val="r_CD_NPS_refine"/>
      <sheetName val="d_CD_NPS_expand"/>
      <sheetName val="r_CD_NPS_expand"/>
      <sheetName val="d_CD_LTR_50k"/>
      <sheetName val="r_CD_LTR_50k"/>
      <sheetName val="d_CD_NPS_50k"/>
      <sheetName val="r_CD_NPS_50k"/>
      <sheetName val="GMB_all_traffic"/>
      <sheetName val="GMB_summary"/>
      <sheetName val="LTR_40_pct"/>
      <sheetName val="LTR_100_pct"/>
      <sheetName val="NPS_expected_40_pct"/>
      <sheetName val="NPS_100_pct"/>
      <sheetName val="traffic_40"/>
      <sheetName val="d_GMB_overall_to_100pct"/>
      <sheetName val="d_GMB_40pct"/>
      <sheetName val="d_GMB_100pct"/>
    </sheetNames>
    <sheetDataSet>
      <sheetData sheetId="0"/>
      <sheetData sheetId="1" refreshError="1"/>
      <sheetData sheetId="2">
        <row r="1">
          <cell r="D1" t="str">
            <v>all-Buyers</v>
          </cell>
        </row>
        <row r="6">
          <cell r="A6" t="str">
            <v>noOct</v>
          </cell>
          <cell r="B6">
            <v>0.33004155617860653</v>
          </cell>
          <cell r="C6">
            <v>7.4580127065205001E-3</v>
          </cell>
          <cell r="D6">
            <v>0.33749956888512705</v>
          </cell>
        </row>
        <row r="7">
          <cell r="A7" t="str">
            <v>yesOct</v>
          </cell>
          <cell r="B7">
            <v>0.60183570360473548</v>
          </cell>
          <cell r="C7">
            <v>6.0664727510137517E-2</v>
          </cell>
          <cell r="D7">
            <v>0.662500431114873</v>
          </cell>
        </row>
        <row r="8">
          <cell r="D8">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yout"/>
      <sheetName val="statistics"/>
      <sheetName val="percentiles"/>
    </sheetNames>
    <sheetDataSet>
      <sheetData sheetId="0"/>
      <sheetData sheetId="1">
        <row r="2">
          <cell r="A2">
            <v>0.5</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gcmd.nasa.gov/index.html" TargetMode="External"/><Relationship Id="rId18" Type="http://schemas.openxmlformats.org/officeDocument/2006/relationships/hyperlink" Target="http://www.p2erls.net/" TargetMode="External"/><Relationship Id="rId26" Type="http://schemas.openxmlformats.org/officeDocument/2006/relationships/hyperlink" Target="http://www.nbii.gov/" TargetMode="External"/><Relationship Id="rId39" Type="http://schemas.openxmlformats.org/officeDocument/2006/relationships/printerSettings" Target="../printerSettings/printerSettings4.bin"/><Relationship Id="rId21" Type="http://schemas.openxmlformats.org/officeDocument/2006/relationships/hyperlink" Target="http://www.prism.oregonstate.edu/" TargetMode="External"/><Relationship Id="rId34" Type="http://schemas.openxmlformats.org/officeDocument/2006/relationships/hyperlink" Target="https://www.neonscience.org/" TargetMode="External"/><Relationship Id="rId7" Type="http://schemas.openxmlformats.org/officeDocument/2006/relationships/hyperlink" Target="https://edg.epa.gov/metadata/catalog/main/home.page" TargetMode="External"/><Relationship Id="rId12" Type="http://schemas.openxmlformats.org/officeDocument/2006/relationships/hyperlink" Target="http://www.ncdc.noaa.gov/oa/ncdc.html" TargetMode="External"/><Relationship Id="rId17" Type="http://schemas.openxmlformats.org/officeDocument/2006/relationships/hyperlink" Target="http://sedac.ciesin.columbia.edu/" TargetMode="External"/><Relationship Id="rId25" Type="http://schemas.openxmlformats.org/officeDocument/2006/relationships/hyperlink" Target="http://www.iucnredlist.org/" TargetMode="External"/><Relationship Id="rId33" Type="http://schemas.openxmlformats.org/officeDocument/2006/relationships/hyperlink" Target="http://www.natureserve.org/getData/index.jsp" TargetMode="External"/><Relationship Id="rId38" Type="http://schemas.openxmlformats.org/officeDocument/2006/relationships/hyperlink" Target="https://portal.edirepository.org/nis/home.jsp" TargetMode="External"/><Relationship Id="rId2" Type="http://schemas.openxmlformats.org/officeDocument/2006/relationships/hyperlink" Target="http://www.agcensus.usda.gov/" TargetMode="External"/><Relationship Id="rId16" Type="http://schemas.openxmlformats.org/officeDocument/2006/relationships/hyperlink" Target="https://ghrc.nsstc.nasa.gov/home/" TargetMode="External"/><Relationship Id="rId20" Type="http://schemas.openxmlformats.org/officeDocument/2006/relationships/hyperlink" Target="http://www.lternet.edu/" TargetMode="External"/><Relationship Id="rId29" Type="http://schemas.openxmlformats.org/officeDocument/2006/relationships/hyperlink" Target="http://www3.imperial.ac.uk/cpb/research/patternsandprocesses/gpdd" TargetMode="External"/><Relationship Id="rId1" Type="http://schemas.openxmlformats.org/officeDocument/2006/relationships/hyperlink" Target="https://nationalmap.gov/" TargetMode="External"/><Relationship Id="rId6" Type="http://schemas.openxmlformats.org/officeDocument/2006/relationships/hyperlink" Target="https://www.epa.gov/national-aquatic-resource-surveys/nrsa" TargetMode="External"/><Relationship Id="rId11" Type="http://schemas.openxmlformats.org/officeDocument/2006/relationships/hyperlink" Target="http://www.usgs.gov/" TargetMode="External"/><Relationship Id="rId24" Type="http://schemas.openxmlformats.org/officeDocument/2006/relationships/hyperlink" Target="https://daymet.ornl.gov/dataaccess.html" TargetMode="External"/><Relationship Id="rId32" Type="http://schemas.openxmlformats.org/officeDocument/2006/relationships/hyperlink" Target="http://www.avianknowledge.net/content/datasets" TargetMode="External"/><Relationship Id="rId37" Type="http://schemas.openxmlformats.org/officeDocument/2006/relationships/hyperlink" Target="http://knb.ecoinformatics.org/knb/style/skins/nceas/index.jsp" TargetMode="External"/><Relationship Id="rId5" Type="http://schemas.openxmlformats.org/officeDocument/2006/relationships/hyperlink" Target="http://waterdata.usgs.gov/nwis" TargetMode="External"/><Relationship Id="rId15" Type="http://schemas.openxmlformats.org/officeDocument/2006/relationships/hyperlink" Target="https://lpdaac.usgs.gov/" TargetMode="External"/><Relationship Id="rId23" Type="http://schemas.openxmlformats.org/officeDocument/2006/relationships/hyperlink" Target="http://www.worldclim.org/" TargetMode="External"/><Relationship Id="rId28" Type="http://schemas.openxmlformats.org/officeDocument/2006/relationships/hyperlink" Target="http://data.gbif.org/welcome.htm" TargetMode="External"/><Relationship Id="rId36" Type="http://schemas.openxmlformats.org/officeDocument/2006/relationships/hyperlink" Target="https://data.esa.org/esa/style/skins/esa/index.jsp" TargetMode="External"/><Relationship Id="rId10" Type="http://schemas.openxmlformats.org/officeDocument/2006/relationships/hyperlink" Target="http://fia.fs.fed.us/tools-data/default.asp" TargetMode="External"/><Relationship Id="rId19" Type="http://schemas.openxmlformats.org/officeDocument/2006/relationships/hyperlink" Target="http://weatherspark.com/" TargetMode="External"/><Relationship Id="rId31" Type="http://schemas.openxmlformats.org/officeDocument/2006/relationships/hyperlink" Target="http://www.bsc-eoc.org/birdmon/default/main.jsp" TargetMode="External"/><Relationship Id="rId4" Type="http://schemas.openxmlformats.org/officeDocument/2006/relationships/hyperlink" Target="https://wwwn.cdc.gov/arbonet/maps/ADB_Diseases_Map/index.html" TargetMode="External"/><Relationship Id="rId9" Type="http://schemas.openxmlformats.org/officeDocument/2006/relationships/hyperlink" Target="http://fia.fs.fed.us/" TargetMode="External"/><Relationship Id="rId14" Type="http://schemas.openxmlformats.org/officeDocument/2006/relationships/hyperlink" Target="https://daac.ornl.gov/get_data/" TargetMode="External"/><Relationship Id="rId22" Type="http://schemas.openxmlformats.org/officeDocument/2006/relationships/hyperlink" Target="https://www.landfire.gov/" TargetMode="External"/><Relationship Id="rId27" Type="http://schemas.openxmlformats.org/officeDocument/2006/relationships/hyperlink" Target="http://www.ice.ucdavis.edu/bioinventory/bioinventory.html" TargetMode="External"/><Relationship Id="rId30" Type="http://schemas.openxmlformats.org/officeDocument/2006/relationships/hyperlink" Target="http://www.pwrc.usgs.gov/BBS/" TargetMode="External"/><Relationship Id="rId35" Type="http://schemas.openxmlformats.org/officeDocument/2006/relationships/hyperlink" Target="http://datadryad.org/" TargetMode="External"/><Relationship Id="rId8" Type="http://schemas.openxmlformats.org/officeDocument/2006/relationships/hyperlink" Target="http://www.mrlc.gov/" TargetMode="External"/><Relationship Id="rId3" Type="http://schemas.openxmlformats.org/officeDocument/2006/relationships/hyperlink" Target="http://www.cdc.gov/datastatistic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1D3A-C118-4E97-9FF6-70B8CA68C108}">
  <sheetPr>
    <pageSetUpPr fitToPage="1"/>
  </sheetPr>
  <dimension ref="A1:I9"/>
  <sheetViews>
    <sheetView tabSelected="1" zoomScale="140" zoomScaleNormal="14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7" customWidth="1"/>
    <col min="2" max="2" width="15.578125" style="7" customWidth="1"/>
    <col min="3" max="3" width="18.578125" style="7" customWidth="1"/>
    <col min="4" max="4" width="15.5234375" style="8" customWidth="1"/>
    <col min="5" max="6" width="8.7890625" style="7"/>
    <col min="7" max="7" width="15.5234375" style="8" customWidth="1"/>
    <col min="8" max="8" width="9.1015625" style="7" bestFit="1" customWidth="1"/>
    <col min="9" max="16384" width="8.7890625" style="7"/>
  </cols>
  <sheetData>
    <row r="1" spans="1:9" s="1" customFormat="1" ht="18" customHeight="1" x14ac:dyDescent="0.55000000000000004">
      <c r="A1" s="1" t="s">
        <v>0</v>
      </c>
      <c r="B1" s="1" t="s">
        <v>1</v>
      </c>
      <c r="C1" s="1" t="s">
        <v>2</v>
      </c>
      <c r="D1" s="2" t="s">
        <v>3</v>
      </c>
      <c r="E1" s="1" t="s">
        <v>4</v>
      </c>
      <c r="F1" s="1" t="s">
        <v>5</v>
      </c>
      <c r="G1" s="2" t="s">
        <v>6</v>
      </c>
      <c r="H1" s="1" t="s">
        <v>7</v>
      </c>
      <c r="I1" s="1" t="s">
        <v>8</v>
      </c>
    </row>
    <row r="2" spans="1:9" s="3" customFormat="1" ht="10.5" hidden="1" x14ac:dyDescent="0.55000000000000004">
      <c r="A2" s="3" t="s">
        <v>9</v>
      </c>
      <c r="D2" s="4"/>
      <c r="G2" s="4"/>
    </row>
    <row r="3" spans="1:9" s="3" customFormat="1" ht="10.5" hidden="1" x14ac:dyDescent="0.55000000000000004">
      <c r="A3" s="3" t="s">
        <v>10</v>
      </c>
      <c r="D3" s="4"/>
      <c r="G3" s="4"/>
    </row>
    <row r="4" spans="1:9" s="3" customFormat="1" ht="10.5" hidden="1" x14ac:dyDescent="0.55000000000000004">
      <c r="A4" s="3" t="s">
        <v>11</v>
      </c>
      <c r="D4" s="4"/>
      <c r="G4" s="4"/>
    </row>
    <row r="5" spans="1:9" s="3" customFormat="1" ht="25" hidden="1" customHeight="1" x14ac:dyDescent="0.55000000000000004">
      <c r="A5" s="3" t="s">
        <v>12</v>
      </c>
      <c r="B5" s="5">
        <f>COUNTA(B$6:B$64)</f>
        <v>4</v>
      </c>
      <c r="D5" s="6"/>
      <c r="G5" s="6"/>
    </row>
    <row r="6" spans="1:9" x14ac:dyDescent="0.55000000000000004">
      <c r="B6" s="7" t="s">
        <v>99</v>
      </c>
      <c r="C6" s="7" t="s">
        <v>100</v>
      </c>
      <c r="D6" s="8">
        <v>45752</v>
      </c>
      <c r="H6" s="7" t="s">
        <v>102</v>
      </c>
      <c r="I6" s="7" t="s">
        <v>103</v>
      </c>
    </row>
    <row r="7" spans="1:9" x14ac:dyDescent="0.55000000000000004">
      <c r="B7" s="7" t="s">
        <v>13</v>
      </c>
      <c r="C7" s="7" t="s">
        <v>104</v>
      </c>
      <c r="D7" s="8">
        <v>45752</v>
      </c>
      <c r="H7" s="7" t="s">
        <v>102</v>
      </c>
      <c r="I7" s="7" t="s">
        <v>103</v>
      </c>
    </row>
    <row r="8" spans="1:9" x14ac:dyDescent="0.55000000000000004">
      <c r="B8" s="7" t="s">
        <v>154</v>
      </c>
      <c r="C8" s="7" t="s">
        <v>155</v>
      </c>
      <c r="D8" s="8">
        <v>45752</v>
      </c>
      <c r="F8" s="7" t="s">
        <v>105</v>
      </c>
      <c r="G8" s="8">
        <v>45166</v>
      </c>
      <c r="I8" s="7" t="s">
        <v>103</v>
      </c>
    </row>
    <row r="9" spans="1:9" x14ac:dyDescent="0.55000000000000004">
      <c r="B9" s="7" t="s">
        <v>86</v>
      </c>
      <c r="C9" s="7" t="s">
        <v>101</v>
      </c>
      <c r="D9" s="8">
        <v>45752</v>
      </c>
      <c r="H9" s="7" t="s">
        <v>102</v>
      </c>
      <c r="I9" s="7" t="s">
        <v>103</v>
      </c>
    </row>
  </sheetData>
  <autoFilter ref="A5" xr:uid="{00000000-0009-0000-0000-000000000000}"/>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D7DC-4D2E-4199-841E-DA0AB3BB46CF}">
  <sheetPr>
    <pageSetUpPr fitToPage="1"/>
  </sheetPr>
  <dimension ref="A1:F7"/>
  <sheetViews>
    <sheetView zoomScale="140" zoomScaleNormal="14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7" customWidth="1"/>
    <col min="2" max="2" width="12.578125" style="7" customWidth="1"/>
    <col min="3" max="3" width="18.578125" style="7" customWidth="1"/>
    <col min="4" max="4" width="12.578125" style="8" customWidth="1"/>
    <col min="5" max="5" width="15.578125" style="7" customWidth="1"/>
    <col min="6" max="6" width="24.578125" style="7" customWidth="1"/>
    <col min="7" max="16384" width="8.7890625" style="7"/>
  </cols>
  <sheetData>
    <row r="1" spans="1:6" s="1" customFormat="1" ht="18" customHeight="1" x14ac:dyDescent="0.55000000000000004">
      <c r="A1" s="1" t="s">
        <v>0</v>
      </c>
      <c r="B1" s="1" t="s">
        <v>0</v>
      </c>
      <c r="C1" s="1" t="s">
        <v>90</v>
      </c>
      <c r="D1" s="2" t="s">
        <v>87</v>
      </c>
      <c r="E1" s="1" t="s">
        <v>88</v>
      </c>
      <c r="F1" s="1" t="s">
        <v>89</v>
      </c>
    </row>
    <row r="2" spans="1:6" s="3" customFormat="1" ht="10.5" hidden="1" x14ac:dyDescent="0.55000000000000004">
      <c r="A2" s="3" t="s">
        <v>9</v>
      </c>
      <c r="D2" s="4"/>
    </row>
    <row r="3" spans="1:6" s="3" customFormat="1" ht="10.5" hidden="1" x14ac:dyDescent="0.55000000000000004">
      <c r="A3" s="3" t="s">
        <v>10</v>
      </c>
      <c r="D3" s="4"/>
    </row>
    <row r="4" spans="1:6" s="3" customFormat="1" ht="10.5" hidden="1" x14ac:dyDescent="0.55000000000000004">
      <c r="A4" s="3" t="s">
        <v>11</v>
      </c>
      <c r="D4" s="4"/>
    </row>
    <row r="5" spans="1:6" s="3" customFormat="1" ht="25" hidden="1" customHeight="1" x14ac:dyDescent="0.55000000000000004">
      <c r="A5" s="3" t="s">
        <v>12</v>
      </c>
      <c r="D5" s="6"/>
    </row>
    <row r="6" spans="1:6" x14ac:dyDescent="0.55000000000000004">
      <c r="B6" s="7" t="s">
        <v>94</v>
      </c>
      <c r="C6" s="7" t="s">
        <v>93</v>
      </c>
      <c r="D6" s="8">
        <v>43923</v>
      </c>
      <c r="E6" s="7" t="s">
        <v>91</v>
      </c>
      <c r="F6" s="7" t="s">
        <v>92</v>
      </c>
    </row>
    <row r="7" spans="1:6" x14ac:dyDescent="0.55000000000000004">
      <c r="B7" s="7" t="s">
        <v>96</v>
      </c>
      <c r="C7" s="7" t="s">
        <v>97</v>
      </c>
      <c r="D7" s="8">
        <v>45166</v>
      </c>
      <c r="E7" s="7" t="s">
        <v>98</v>
      </c>
      <c r="F7" s="7" t="s">
        <v>95</v>
      </c>
    </row>
  </sheetData>
  <autoFilter ref="A5" xr:uid="{00000000-0009-0000-0000-000000000000}"/>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9B155-56C4-4AC5-A6F5-22A48049F9EF}">
  <sheetPr>
    <pageSetUpPr fitToPage="1"/>
  </sheetPr>
  <dimension ref="A1:F6"/>
  <sheetViews>
    <sheetView zoomScale="140" zoomScaleNormal="140" workbookViewId="0">
      <pane xSplit="1" ySplit="5" topLeftCell="B6" activePane="bottomRight" state="frozen"/>
      <selection pane="topRight" activeCell="B1" sqref="B1"/>
      <selection pane="bottomLeft" activeCell="A6" sqref="A6"/>
      <selection pane="bottomRight" activeCell="D6" sqref="D6"/>
    </sheetView>
  </sheetViews>
  <sheetFormatPr defaultColWidth="8.7890625" defaultRowHeight="12.9" x14ac:dyDescent="0.55000000000000004"/>
  <cols>
    <col min="1" max="1" width="1.578125" style="7" customWidth="1"/>
    <col min="2" max="2" width="12.578125" style="7" customWidth="1"/>
    <col min="3" max="3" width="18.578125" style="7" customWidth="1"/>
    <col min="4" max="4" width="12.578125" style="8" customWidth="1"/>
    <col min="5" max="5" width="15.578125" style="7" customWidth="1"/>
    <col min="6" max="6" width="24.578125" style="7" customWidth="1"/>
    <col min="7" max="16384" width="8.7890625" style="7"/>
  </cols>
  <sheetData>
    <row r="1" spans="1:6" s="1" customFormat="1" ht="18" customHeight="1" x14ac:dyDescent="0.55000000000000004">
      <c r="A1" s="1" t="s">
        <v>0</v>
      </c>
      <c r="B1" s="1" t="s">
        <v>0</v>
      </c>
      <c r="C1" s="1" t="s">
        <v>90</v>
      </c>
      <c r="D1" s="2" t="s">
        <v>87</v>
      </c>
      <c r="E1" s="1" t="s">
        <v>88</v>
      </c>
      <c r="F1" s="1" t="s">
        <v>89</v>
      </c>
    </row>
    <row r="2" spans="1:6" s="3" customFormat="1" ht="10.5" hidden="1" x14ac:dyDescent="0.55000000000000004">
      <c r="A2" s="3" t="s">
        <v>9</v>
      </c>
      <c r="D2" s="4"/>
    </row>
    <row r="3" spans="1:6" s="3" customFormat="1" ht="10.5" hidden="1" x14ac:dyDescent="0.55000000000000004">
      <c r="A3" s="3" t="s">
        <v>10</v>
      </c>
      <c r="D3" s="4"/>
    </row>
    <row r="4" spans="1:6" s="3" customFormat="1" ht="10.5" hidden="1" x14ac:dyDescent="0.55000000000000004">
      <c r="A4" s="3" t="s">
        <v>11</v>
      </c>
      <c r="D4" s="4"/>
    </row>
    <row r="5" spans="1:6" s="3" customFormat="1" ht="25" hidden="1" customHeight="1" x14ac:dyDescent="0.55000000000000004">
      <c r="A5" s="3" t="s">
        <v>12</v>
      </c>
      <c r="D5" s="6"/>
    </row>
    <row r="6" spans="1:6" x14ac:dyDescent="0.55000000000000004">
      <c r="B6" s="7" t="s">
        <v>108</v>
      </c>
      <c r="C6" s="7" t="s">
        <v>105</v>
      </c>
      <c r="D6" s="8">
        <v>45166</v>
      </c>
      <c r="E6" s="7" t="s">
        <v>106</v>
      </c>
      <c r="F6" s="7" t="s">
        <v>107</v>
      </c>
    </row>
  </sheetData>
  <autoFilter ref="A5" xr:uid="{00000000-0009-0000-0000-000000000000}"/>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63230-98F5-4F6B-9828-6E6B3750CCDE}">
  <sheetPr>
    <pageSetUpPr fitToPage="1"/>
  </sheetPr>
  <dimension ref="A1:E44"/>
  <sheetViews>
    <sheetView zoomScale="140" zoomScaleNormal="14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7" customWidth="1"/>
    <col min="2" max="3" width="12.578125" style="7" customWidth="1"/>
    <col min="4" max="4" width="60.578125" style="7" customWidth="1"/>
    <col min="5" max="5" width="12.578125" style="8" customWidth="1"/>
    <col min="6" max="6" width="15.578125" style="7" customWidth="1"/>
    <col min="7" max="7" width="24.578125" style="7" customWidth="1"/>
    <col min="8" max="16384" width="8.7890625" style="7"/>
  </cols>
  <sheetData>
    <row r="1" spans="1:5" s="1" customFormat="1" ht="18" customHeight="1" x14ac:dyDescent="0.55000000000000004">
      <c r="A1" s="1" t="s">
        <v>0</v>
      </c>
      <c r="B1" s="1" t="s">
        <v>109</v>
      </c>
      <c r="C1" s="1" t="s">
        <v>110</v>
      </c>
      <c r="E1" s="2"/>
    </row>
    <row r="2" spans="1:5" s="3" customFormat="1" ht="10.5" hidden="1" x14ac:dyDescent="0.55000000000000004">
      <c r="A2" s="3" t="s">
        <v>9</v>
      </c>
      <c r="E2" s="4"/>
    </row>
    <row r="3" spans="1:5" s="3" customFormat="1" ht="10.5" hidden="1" x14ac:dyDescent="0.55000000000000004">
      <c r="A3" s="3" t="s">
        <v>10</v>
      </c>
      <c r="E3" s="4"/>
    </row>
    <row r="4" spans="1:5" s="3" customFormat="1" ht="10.5" hidden="1" x14ac:dyDescent="0.55000000000000004">
      <c r="A4" s="3" t="s">
        <v>11</v>
      </c>
      <c r="E4" s="4"/>
    </row>
    <row r="5" spans="1:5" s="3" customFormat="1" ht="25" hidden="1" customHeight="1" x14ac:dyDescent="0.55000000000000004">
      <c r="A5" s="3" t="s">
        <v>12</v>
      </c>
      <c r="E5" s="6"/>
    </row>
    <row r="6" spans="1:5" ht="14.4" x14ac:dyDescent="0.55000000000000004">
      <c r="B6" s="7" t="s">
        <v>13</v>
      </c>
      <c r="C6" s="7" t="s">
        <v>111</v>
      </c>
      <c r="D6" s="31" t="s">
        <v>117</v>
      </c>
    </row>
    <row r="7" spans="1:5" ht="14.4" x14ac:dyDescent="0.55000000000000004">
      <c r="B7" s="7" t="s">
        <v>13</v>
      </c>
      <c r="C7" s="7" t="s">
        <v>111</v>
      </c>
      <c r="D7" s="31" t="s">
        <v>118</v>
      </c>
    </row>
    <row r="8" spans="1:5" ht="14.4" x14ac:dyDescent="0.55000000000000004">
      <c r="B8" s="7" t="s">
        <v>13</v>
      </c>
      <c r="C8" s="7" t="s">
        <v>111</v>
      </c>
      <c r="D8" s="31" t="s">
        <v>119</v>
      </c>
    </row>
    <row r="9" spans="1:5" ht="14.4" x14ac:dyDescent="0.55000000000000004">
      <c r="B9" s="7" t="s">
        <v>13</v>
      </c>
      <c r="C9" s="7" t="s">
        <v>111</v>
      </c>
      <c r="D9" s="31" t="s">
        <v>120</v>
      </c>
    </row>
    <row r="10" spans="1:5" ht="14.4" x14ac:dyDescent="0.55000000000000004">
      <c r="B10" s="7" t="s">
        <v>13</v>
      </c>
      <c r="C10" s="7" t="s">
        <v>111</v>
      </c>
      <c r="D10" s="31" t="s">
        <v>121</v>
      </c>
    </row>
    <row r="11" spans="1:5" ht="14.4" x14ac:dyDescent="0.55000000000000004">
      <c r="B11" s="7" t="s">
        <v>13</v>
      </c>
      <c r="C11" s="7" t="s">
        <v>111</v>
      </c>
      <c r="D11" s="31" t="s">
        <v>112</v>
      </c>
    </row>
    <row r="12" spans="1:5" ht="14.4" x14ac:dyDescent="0.55000000000000004">
      <c r="B12" s="7" t="s">
        <v>13</v>
      </c>
      <c r="C12" s="7" t="s">
        <v>111</v>
      </c>
      <c r="D12" s="31" t="s">
        <v>122</v>
      </c>
    </row>
    <row r="13" spans="1:5" ht="14.4" x14ac:dyDescent="0.55000000000000004">
      <c r="B13" s="7" t="s">
        <v>13</v>
      </c>
      <c r="C13" s="7" t="s">
        <v>111</v>
      </c>
      <c r="D13" s="31" t="s">
        <v>123</v>
      </c>
    </row>
    <row r="14" spans="1:5" ht="14.4" x14ac:dyDescent="0.55000000000000004">
      <c r="B14" s="7" t="s">
        <v>13</v>
      </c>
      <c r="C14" s="7" t="s">
        <v>111</v>
      </c>
      <c r="D14" s="30" t="s">
        <v>124</v>
      </c>
    </row>
    <row r="15" spans="1:5" ht="14.4" x14ac:dyDescent="0.55000000000000004">
      <c r="B15" s="7" t="s">
        <v>13</v>
      </c>
      <c r="C15" s="7" t="s">
        <v>111</v>
      </c>
      <c r="D15" s="31" t="s">
        <v>113</v>
      </c>
    </row>
    <row r="16" spans="1:5" ht="14.4" x14ac:dyDescent="0.55000000000000004">
      <c r="B16" s="7" t="s">
        <v>13</v>
      </c>
      <c r="C16" s="7" t="s">
        <v>111</v>
      </c>
      <c r="D16" s="31" t="s">
        <v>125</v>
      </c>
    </row>
    <row r="17" spans="2:4" ht="14.4" x14ac:dyDescent="0.55000000000000004">
      <c r="B17" s="7" t="s">
        <v>13</v>
      </c>
      <c r="C17" s="7" t="s">
        <v>111</v>
      </c>
      <c r="D17" s="31" t="s">
        <v>126</v>
      </c>
    </row>
    <row r="18" spans="2:4" ht="14.4" x14ac:dyDescent="0.55000000000000004">
      <c r="B18" s="7" t="s">
        <v>13</v>
      </c>
      <c r="C18" s="7" t="s">
        <v>111</v>
      </c>
      <c r="D18" s="31" t="s">
        <v>127</v>
      </c>
    </row>
    <row r="19" spans="2:4" ht="14.4" x14ac:dyDescent="0.55000000000000004">
      <c r="B19" s="7" t="s">
        <v>13</v>
      </c>
      <c r="C19" s="7" t="s">
        <v>111</v>
      </c>
      <c r="D19" s="31" t="s">
        <v>128</v>
      </c>
    </row>
    <row r="20" spans="2:4" ht="14.4" x14ac:dyDescent="0.55000000000000004">
      <c r="B20" s="7" t="s">
        <v>13</v>
      </c>
      <c r="C20" s="7" t="s">
        <v>111</v>
      </c>
      <c r="D20" s="31" t="s">
        <v>129</v>
      </c>
    </row>
    <row r="21" spans="2:4" ht="14.4" x14ac:dyDescent="0.55000000000000004">
      <c r="B21" s="7" t="s">
        <v>13</v>
      </c>
      <c r="C21" s="7" t="s">
        <v>111</v>
      </c>
      <c r="D21" s="31" t="s">
        <v>114</v>
      </c>
    </row>
    <row r="22" spans="2:4" ht="14.4" x14ac:dyDescent="0.55000000000000004">
      <c r="B22" s="7" t="s">
        <v>13</v>
      </c>
      <c r="C22" s="7" t="s">
        <v>111</v>
      </c>
      <c r="D22" s="31" t="s">
        <v>115</v>
      </c>
    </row>
    <row r="23" spans="2:4" ht="14.4" x14ac:dyDescent="0.55000000000000004">
      <c r="B23" s="7" t="s">
        <v>13</v>
      </c>
      <c r="C23" s="7" t="s">
        <v>111</v>
      </c>
      <c r="D23" s="31" t="s">
        <v>116</v>
      </c>
    </row>
    <row r="24" spans="2:4" ht="28.8" x14ac:dyDescent="0.55000000000000004">
      <c r="B24" s="7" t="s">
        <v>13</v>
      </c>
      <c r="C24" s="7" t="s">
        <v>130</v>
      </c>
      <c r="D24" s="32" t="s">
        <v>131</v>
      </c>
    </row>
    <row r="25" spans="2:4" ht="28.8" x14ac:dyDescent="0.55000000000000004">
      <c r="B25" s="7" t="s">
        <v>13</v>
      </c>
      <c r="C25" s="7" t="s">
        <v>130</v>
      </c>
      <c r="D25" s="32" t="s">
        <v>132</v>
      </c>
    </row>
    <row r="26" spans="2:4" ht="43.2" x14ac:dyDescent="0.55000000000000004">
      <c r="B26" s="7" t="s">
        <v>13</v>
      </c>
      <c r="C26" s="7" t="s">
        <v>130</v>
      </c>
      <c r="D26" s="32" t="s">
        <v>133</v>
      </c>
    </row>
    <row r="27" spans="2:4" ht="28.8" x14ac:dyDescent="0.55000000000000004">
      <c r="B27" s="7" t="s">
        <v>13</v>
      </c>
      <c r="C27" s="7" t="s">
        <v>130</v>
      </c>
      <c r="D27" s="32" t="s">
        <v>134</v>
      </c>
    </row>
    <row r="28" spans="2:4" ht="28.8" x14ac:dyDescent="0.55000000000000004">
      <c r="B28" s="7" t="s">
        <v>13</v>
      </c>
      <c r="C28" s="7" t="s">
        <v>130</v>
      </c>
      <c r="D28" s="32" t="s">
        <v>135</v>
      </c>
    </row>
    <row r="29" spans="2:4" ht="28.8" x14ac:dyDescent="0.55000000000000004">
      <c r="B29" s="7" t="s">
        <v>13</v>
      </c>
      <c r="C29" s="7" t="s">
        <v>130</v>
      </c>
      <c r="D29" s="32" t="s">
        <v>136</v>
      </c>
    </row>
    <row r="30" spans="2:4" ht="14.4" x14ac:dyDescent="0.55000000000000004">
      <c r="B30" s="7" t="s">
        <v>13</v>
      </c>
      <c r="C30" s="7" t="s">
        <v>130</v>
      </c>
      <c r="D30" s="32" t="s">
        <v>137</v>
      </c>
    </row>
    <row r="31" spans="2:4" ht="43.2" x14ac:dyDescent="0.55000000000000004">
      <c r="B31" s="7" t="s">
        <v>13</v>
      </c>
      <c r="C31" s="7" t="s">
        <v>138</v>
      </c>
      <c r="D31" s="32" t="s">
        <v>139</v>
      </c>
    </row>
    <row r="32" spans="2:4" ht="43.2" x14ac:dyDescent="0.55000000000000004">
      <c r="B32" s="7" t="s">
        <v>13</v>
      </c>
      <c r="C32" s="7" t="s">
        <v>138</v>
      </c>
      <c r="D32" s="32" t="s">
        <v>140</v>
      </c>
    </row>
    <row r="33" spans="2:4" ht="43.2" x14ac:dyDescent="0.55000000000000004">
      <c r="B33" s="7" t="s">
        <v>13</v>
      </c>
      <c r="C33" s="7" t="s">
        <v>138</v>
      </c>
      <c r="D33" s="32" t="s">
        <v>141</v>
      </c>
    </row>
    <row r="34" spans="2:4" ht="43.2" x14ac:dyDescent="0.55000000000000004">
      <c r="B34" s="7" t="s">
        <v>13</v>
      </c>
      <c r="C34" s="7" t="s">
        <v>138</v>
      </c>
      <c r="D34" s="32" t="s">
        <v>142</v>
      </c>
    </row>
    <row r="35" spans="2:4" ht="57.6" x14ac:dyDescent="0.55000000000000004">
      <c r="B35" s="7" t="s">
        <v>13</v>
      </c>
      <c r="C35" s="7" t="s">
        <v>138</v>
      </c>
      <c r="D35" s="32" t="s">
        <v>143</v>
      </c>
    </row>
    <row r="36" spans="2:4" ht="43.2" x14ac:dyDescent="0.55000000000000004">
      <c r="B36" s="7" t="s">
        <v>13</v>
      </c>
      <c r="C36" s="7" t="s">
        <v>138</v>
      </c>
      <c r="D36" s="32" t="s">
        <v>144</v>
      </c>
    </row>
    <row r="37" spans="2:4" ht="28.8" x14ac:dyDescent="0.55000000000000004">
      <c r="B37" s="7" t="s">
        <v>13</v>
      </c>
      <c r="C37" s="7" t="s">
        <v>138</v>
      </c>
      <c r="D37" s="32" t="s">
        <v>145</v>
      </c>
    </row>
    <row r="38" spans="2:4" ht="43.2" x14ac:dyDescent="0.55000000000000004">
      <c r="B38" s="7" t="s">
        <v>13</v>
      </c>
      <c r="C38" s="7" t="s">
        <v>138</v>
      </c>
      <c r="D38" s="32" t="s">
        <v>146</v>
      </c>
    </row>
    <row r="39" spans="2:4" ht="28.8" x14ac:dyDescent="0.55000000000000004">
      <c r="B39" s="7" t="s">
        <v>13</v>
      </c>
      <c r="C39" s="7" t="s">
        <v>138</v>
      </c>
      <c r="D39" s="32" t="s">
        <v>147</v>
      </c>
    </row>
    <row r="40" spans="2:4" ht="43.2" x14ac:dyDescent="0.55000000000000004">
      <c r="B40" s="7" t="s">
        <v>13</v>
      </c>
      <c r="C40" s="7" t="s">
        <v>138</v>
      </c>
      <c r="D40" s="32" t="s">
        <v>148</v>
      </c>
    </row>
    <row r="41" spans="2:4" ht="28.8" x14ac:dyDescent="0.55000000000000004">
      <c r="B41" s="7" t="s">
        <v>13</v>
      </c>
      <c r="C41" s="7" t="s">
        <v>149</v>
      </c>
      <c r="D41" s="32" t="s">
        <v>150</v>
      </c>
    </row>
    <row r="42" spans="2:4" ht="28.8" x14ac:dyDescent="0.55000000000000004">
      <c r="B42" s="7" t="s">
        <v>13</v>
      </c>
      <c r="C42" s="7" t="s">
        <v>149</v>
      </c>
      <c r="D42" s="32" t="s">
        <v>151</v>
      </c>
    </row>
    <row r="43" spans="2:4" ht="43.2" x14ac:dyDescent="0.55000000000000004">
      <c r="B43" s="7" t="s">
        <v>13</v>
      </c>
      <c r="C43" s="7" t="s">
        <v>149</v>
      </c>
      <c r="D43" s="32" t="s">
        <v>152</v>
      </c>
    </row>
    <row r="44" spans="2:4" ht="28.8" x14ac:dyDescent="0.55000000000000004">
      <c r="B44" s="7" t="s">
        <v>13</v>
      </c>
      <c r="C44" s="7" t="s">
        <v>149</v>
      </c>
      <c r="D44" s="32" t="s">
        <v>153</v>
      </c>
    </row>
  </sheetData>
  <autoFilter ref="A5" xr:uid="{00000000-0009-0000-0000-000000000000}"/>
  <phoneticPr fontId="6" type="noConversion"/>
  <hyperlinks>
    <hyperlink ref="D6" r:id="rId1" display="https://nationalmap.gov/" xr:uid="{E485D36A-1C66-4DC3-B88A-963FD45BAF7A}"/>
    <hyperlink ref="D7" r:id="rId2" display="http://www.agcensus.usda.gov/" xr:uid="{7CC9798E-9B75-491B-A8E4-3538346DC76D}"/>
    <hyperlink ref="D8" r:id="rId3" display="http://www.cdc.gov/datastatistics/" xr:uid="{AC6B924B-8923-4338-A351-EF22BF9E443C}"/>
    <hyperlink ref="D9" r:id="rId4" display="https://wwwn.cdc.gov/arbonet/maps/ADB_Diseases_Map/index.html" xr:uid="{363A1673-7A31-41F3-9854-ECB3DAD9D2B4}"/>
    <hyperlink ref="D10" r:id="rId5" display="http://waterdata.usgs.gov/nwis" xr:uid="{5F770B00-AD11-484C-A401-A65403B46AAE}"/>
    <hyperlink ref="D11" r:id="rId6" display="https://www.epa.gov/national-aquatic-resource-surveys/nrsa" xr:uid="{19A01FF9-6E24-4C00-9827-D7AB63CC4DFC}"/>
    <hyperlink ref="D12" r:id="rId7" display="https://edg.epa.gov/metadata/catalog/main/home.page" xr:uid="{42F6C854-46D8-437C-8754-836237C64219}"/>
    <hyperlink ref="D13" r:id="rId8" display="http://www.mrlc.gov/" xr:uid="{2BFE15CA-1F5E-495D-8F81-69B66C17AC7D}"/>
    <hyperlink ref="D15" r:id="rId9" display="http://fia.fs.fed.us/" xr:uid="{C3E31983-5865-47CD-8DFF-29DC8F9A519F}"/>
    <hyperlink ref="D16" r:id="rId10" display="http://fia.fs.fed.us/tools-data/default.asp" xr:uid="{0626A0CF-68A8-4CB1-BC81-5CCCA7CAFB06}"/>
    <hyperlink ref="D17" r:id="rId11" display="http://www.usgs.gov/" xr:uid="{B7FC648C-74D1-49E7-AF20-7C9F2DD45D25}"/>
    <hyperlink ref="D18" r:id="rId12" display="http://www.ncdc.noaa.gov/oa/ncdc.html" xr:uid="{E8F55936-51A1-423C-9085-1032DEBDDC92}"/>
    <hyperlink ref="D19" r:id="rId13" display="http://gcmd.nasa.gov/index.html" xr:uid="{AA7E0AB4-8C29-44A1-AACF-F2F8CB538545}"/>
    <hyperlink ref="D20" r:id="rId14" display="https://daac.ornl.gov/get_data/" xr:uid="{F418B0DE-79CD-43F1-8589-653A96F07A45}"/>
    <hyperlink ref="D21" r:id="rId15" display="https://lpdaac.usgs.gov/" xr:uid="{A17A2222-1F89-41E9-887D-F8650C5B659F}"/>
    <hyperlink ref="D22" r:id="rId16" display="https://ghrc.nsstc.nasa.gov/home/" xr:uid="{0EEB0329-60F3-48FC-9EE5-0BD7CAE416DF}"/>
    <hyperlink ref="D23" r:id="rId17" display="http://sedac.ciesin.columbia.edu/" xr:uid="{40E2FB2A-7D93-4D09-8C49-636D10E15C5C}"/>
    <hyperlink ref="D24" r:id="rId18" display="http://www.p2erls.net/" xr:uid="{E5936E01-1DF7-429F-98C1-B3C761E20B0D}"/>
    <hyperlink ref="D25" r:id="rId19" display="http://weatherspark.com/" xr:uid="{F5B99729-58FC-4C41-B1BF-0DABCE1BFD97}"/>
    <hyperlink ref="D26" r:id="rId20" display="http://www.lternet.edu/" xr:uid="{E2AC49A7-E588-4179-B1BA-8E8945E9FE23}"/>
    <hyperlink ref="D27" r:id="rId21" display="http://www.prism.oregonstate.edu/" xr:uid="{55D3A9CA-4AFA-4353-8878-CECDD7E20215}"/>
    <hyperlink ref="D28" r:id="rId22" display="https://www.landfire.gov/" xr:uid="{CF595E0E-5102-40FB-9A4D-2DD3637780D9}"/>
    <hyperlink ref="D29" r:id="rId23" display="http://www.worldclim.org/" xr:uid="{FF858D4A-92BA-4F78-BB3F-B5D8377479D8}"/>
    <hyperlink ref="D30" r:id="rId24" display="https://daymet.ornl.gov/dataaccess.html" xr:uid="{A84D09C7-D806-4125-81C5-15CF6F510CD2}"/>
    <hyperlink ref="D31" r:id="rId25" display="http://www.iucnredlist.org/" xr:uid="{E9B69247-43EF-43F3-B74A-51719829E0CC}"/>
    <hyperlink ref="D32" r:id="rId26" display="http://www.nbii.gov/" xr:uid="{1B738AFE-9E47-46CE-968B-41058A3BA64D}"/>
    <hyperlink ref="D33" r:id="rId27" display="http://www.ice.ucdavis.edu/bioinventory/bioinventory.html" xr:uid="{E4BF943E-7612-44B2-A63B-65CD671E9033}"/>
    <hyperlink ref="D34" r:id="rId28" display="http://data.gbif.org/welcome.htm" xr:uid="{6858F1E9-1B5E-4157-8474-8736E6431947}"/>
    <hyperlink ref="D35" r:id="rId29" display="http://www3.imperial.ac.uk/cpb/research/patternsandprocesses/gpdd" xr:uid="{B20D4A58-51E0-48DC-B3E9-30067F3C793A}"/>
    <hyperlink ref="D36" r:id="rId30" display="http://www.pwrc.usgs.gov/BBS/" xr:uid="{104E4C16-D753-473B-B539-2A09CA4EB027}"/>
    <hyperlink ref="D37" r:id="rId31" display="http://www.bsc-eoc.org/birdmon/default/main.jsp" xr:uid="{26E3FC2D-A357-40FB-8296-3A55B509532D}"/>
    <hyperlink ref="D38" r:id="rId32" display="http://www.avianknowledge.net/content/datasets" xr:uid="{D58BBDA1-3A34-4C6E-BBC0-FD89FC62C608}"/>
    <hyperlink ref="D39" r:id="rId33" display="http://www.natureserve.org/getData/index.jsp" xr:uid="{3AD7212B-5665-4C46-BD9F-14A079799BA0}"/>
    <hyperlink ref="D40" r:id="rId34" display="https://www.neonscience.org/" xr:uid="{EB4B055F-6268-4CEB-B8E2-80147D5F3AF0}"/>
    <hyperlink ref="D41" r:id="rId35" display="http://datadryad.org/" xr:uid="{2CB043F1-21EB-4E7C-96C5-2E704369F3E3}"/>
    <hyperlink ref="D42" r:id="rId36" display="https://data.esa.org/esa/style/skins/esa/index.jsp" xr:uid="{57D2A9DF-9DFE-44B7-9DC7-8ABFA1AFEA8B}"/>
    <hyperlink ref="D43" r:id="rId37" display="http://knb.ecoinformatics.org/knb/style/skins/nceas/index.jsp" xr:uid="{330BDA09-C548-406B-9326-15CCFED00244}"/>
    <hyperlink ref="D44" r:id="rId38" display="https://portal.edirepository.org/nis/home.jsp" xr:uid="{9549D312-3196-4449-B4A8-53F332C3B5B3}"/>
  </hyperlinks>
  <pageMargins left="0.7" right="0.7" top="0.75" bottom="0.75" header="0.3" footer="0.3"/>
  <pageSetup scale="82" orientation="landscape" horizontalDpi="4294967294" r:id="rId39"/>
  <headerFooter>
    <oddHeader>&amp;C&amp;A
&amp;F</oddHeader>
    <oddFooter>&amp;Lprinted on &amp;D&amp;RPage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64732-502F-4011-9303-13582877C17C}">
  <sheetPr>
    <pageSetUpPr fitToPage="1"/>
  </sheetPr>
  <dimension ref="A1:M60"/>
  <sheetViews>
    <sheetView zoomScale="120" zoomScaleNormal="12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2.5234375" style="7" customWidth="1"/>
    <col min="2" max="2" width="8.7890625" style="7"/>
    <col min="3" max="3" width="12.7890625" style="22" bestFit="1" customWidth="1"/>
    <col min="4" max="4" width="8.7890625" style="23"/>
    <col min="5" max="5" width="8.7890625" style="24"/>
    <col min="6" max="6" width="8.7890625" style="25"/>
    <col min="7" max="7" width="10.5234375" style="26" customWidth="1"/>
    <col min="8" max="8" width="8.7890625" style="27"/>
    <col min="9" max="9" width="12.7890625" style="28" bestFit="1" customWidth="1"/>
    <col min="10" max="10" width="15.5234375" style="8" customWidth="1"/>
    <col min="11" max="11" width="8.7890625" style="7"/>
    <col min="12" max="12" width="12.7890625" style="29" bestFit="1" customWidth="1"/>
    <col min="13" max="13" width="18.5234375" style="7" customWidth="1"/>
    <col min="14" max="16384" width="8.7890625" style="7"/>
  </cols>
  <sheetData>
    <row r="1" spans="1:13" s="1" customFormat="1" ht="18" customHeight="1" x14ac:dyDescent="0.55000000000000004">
      <c r="A1" s="1" t="s">
        <v>0</v>
      </c>
      <c r="B1" s="1" t="s">
        <v>14</v>
      </c>
      <c r="C1" s="9" t="s">
        <v>15</v>
      </c>
      <c r="D1" s="10" t="s">
        <v>16</v>
      </c>
      <c r="E1" s="11" t="s">
        <v>17</v>
      </c>
      <c r="F1" s="12" t="s">
        <v>18</v>
      </c>
      <c r="G1" s="13" t="s">
        <v>19</v>
      </c>
      <c r="H1" s="14" t="s">
        <v>20</v>
      </c>
      <c r="I1" s="15" t="s">
        <v>21</v>
      </c>
      <c r="J1" s="2" t="s">
        <v>22</v>
      </c>
      <c r="K1" s="1" t="s">
        <v>23</v>
      </c>
      <c r="L1" s="16" t="s">
        <v>24</v>
      </c>
      <c r="M1" s="1" t="s">
        <v>25</v>
      </c>
    </row>
    <row r="2" spans="1:13" s="3" customFormat="1" ht="10.5" x14ac:dyDescent="0.55000000000000004">
      <c r="A2" s="3" t="s">
        <v>9</v>
      </c>
      <c r="C2" s="17"/>
      <c r="D2" s="18">
        <f t="shared" ref="D2:J2" si="0" xml:space="preserve"> MAX(D$6:D$105)</f>
        <v>20.085536923187668</v>
      </c>
      <c r="E2" s="5">
        <f t="shared" si="0"/>
        <v>20085.536923187668</v>
      </c>
      <c r="F2" s="19">
        <f t="shared" si="0"/>
        <v>20.085536923187668</v>
      </c>
      <c r="G2" s="6">
        <f t="shared" si="0"/>
        <v>20085.536923187668</v>
      </c>
      <c r="H2" s="20">
        <f t="shared" si="0"/>
        <v>20.085536923187668</v>
      </c>
      <c r="I2" s="17">
        <f t="shared" si="0"/>
        <v>47490.135440040314</v>
      </c>
      <c r="J2" s="4">
        <f t="shared" si="0"/>
        <v>47490.135440040314</v>
      </c>
      <c r="L2" s="21">
        <f xml:space="preserve"> MAX(L$6:L$105)</f>
        <v>0.83689737179948609</v>
      </c>
    </row>
    <row r="3" spans="1:13" s="3" customFormat="1" ht="10.5" x14ac:dyDescent="0.55000000000000004">
      <c r="A3" s="3" t="s">
        <v>10</v>
      </c>
      <c r="C3" s="17"/>
      <c r="D3" s="18">
        <f t="shared" ref="D3:J3" si="1" xml:space="preserve"> MEDIAN(D$6:D$105)</f>
        <v>1.4913616938342726</v>
      </c>
      <c r="E3" s="5">
        <f t="shared" si="1"/>
        <v>1491.3616938342727</v>
      </c>
      <c r="F3" s="19">
        <f t="shared" si="1"/>
        <v>1.4913616938342726</v>
      </c>
      <c r="G3" s="6">
        <f t="shared" si="1"/>
        <v>1491.3616938342727</v>
      </c>
      <c r="H3" s="20">
        <f t="shared" si="1"/>
        <v>1.4913616938342726</v>
      </c>
      <c r="I3" s="17">
        <f t="shared" si="1"/>
        <v>40721.855656555672</v>
      </c>
      <c r="J3" s="4">
        <f t="shared" si="1"/>
        <v>40721.855656555672</v>
      </c>
      <c r="L3" s="21">
        <f xml:space="preserve"> MEDIAN(L$6:L$105)</f>
        <v>6.2140070576428022E-2</v>
      </c>
    </row>
    <row r="4" spans="1:13" s="3" customFormat="1" ht="10.5" x14ac:dyDescent="0.55000000000000004">
      <c r="A4" s="3" t="s">
        <v>11</v>
      </c>
      <c r="C4" s="17"/>
      <c r="D4" s="18">
        <f t="shared" ref="D4:J4" si="2" xml:space="preserve"> MIN(D$6:D$105)</f>
        <v>0</v>
      </c>
      <c r="E4" s="5">
        <f t="shared" si="2"/>
        <v>0</v>
      </c>
      <c r="F4" s="19">
        <f t="shared" si="2"/>
        <v>0</v>
      </c>
      <c r="G4" s="6">
        <f t="shared" si="2"/>
        <v>0</v>
      </c>
      <c r="H4" s="20">
        <f t="shared" si="2"/>
        <v>0</v>
      </c>
      <c r="I4" s="17">
        <f t="shared" si="2"/>
        <v>40179</v>
      </c>
      <c r="J4" s="4">
        <f t="shared" si="2"/>
        <v>40179</v>
      </c>
      <c r="L4" s="21">
        <f xml:space="preserve"> MIN(L$6:L$105)</f>
        <v>0</v>
      </c>
    </row>
    <row r="5" spans="1:13" s="3" customFormat="1" ht="25" customHeight="1" x14ac:dyDescent="0.55000000000000004">
      <c r="A5" s="3" t="s">
        <v>12</v>
      </c>
      <c r="B5" s="6">
        <f>COUNTIF(B$6:B$105, TRUE)</f>
        <v>25</v>
      </c>
      <c r="C5" s="6">
        <f t="shared" ref="C5:M5" si="3">COUNTA(C$6:C$105)</f>
        <v>55</v>
      </c>
      <c r="D5" s="6">
        <f t="shared" si="3"/>
        <v>55</v>
      </c>
      <c r="E5" s="5">
        <f t="shared" si="3"/>
        <v>55</v>
      </c>
      <c r="F5" s="6">
        <f t="shared" si="3"/>
        <v>55</v>
      </c>
      <c r="G5" s="6">
        <f t="shared" si="3"/>
        <v>55</v>
      </c>
      <c r="H5" s="6">
        <f t="shared" si="3"/>
        <v>55</v>
      </c>
      <c r="I5" s="6">
        <f t="shared" si="3"/>
        <v>55</v>
      </c>
      <c r="J5" s="6">
        <f t="shared" si="3"/>
        <v>55</v>
      </c>
      <c r="K5" s="6">
        <f t="shared" si="3"/>
        <v>55</v>
      </c>
      <c r="L5" s="6">
        <f t="shared" si="3"/>
        <v>55</v>
      </c>
      <c r="M5" s="6">
        <f t="shared" si="3"/>
        <v>5</v>
      </c>
    </row>
    <row r="6" spans="1:13" x14ac:dyDescent="0.55000000000000004">
      <c r="A6" s="7" t="s">
        <v>26</v>
      </c>
      <c r="C6" s="22" t="str">
        <f t="shared" ref="C6:C60" si="4" xml:space="preserve"> $A6</f>
        <v>zero</v>
      </c>
      <c r="D6" s="23">
        <f xml:space="preserve"> 0</f>
        <v>0</v>
      </c>
      <c r="E6" s="24">
        <f t="shared" ref="E6:E60" si="5" xml:space="preserve"> $D6 * 10^3</f>
        <v>0</v>
      </c>
      <c r="F6" s="25">
        <f t="shared" ref="F6:F60" si="6" xml:space="preserve"> $D6</f>
        <v>0</v>
      </c>
      <c r="G6" s="26">
        <f t="shared" ref="G6:G60" si="7" xml:space="preserve"> $D6 * 10^3</f>
        <v>0</v>
      </c>
      <c r="H6" s="27">
        <f t="shared" ref="H6:H60" si="8" xml:space="preserve"> $D6</f>
        <v>0</v>
      </c>
      <c r="I6" s="28">
        <f t="shared" ref="I6:J25" si="9" xml:space="preserve"> DATE(2010, 1, 1) + $D6 * (DATE(2010, 12, 31) - DATE(2010, 1, 1))</f>
        <v>40179</v>
      </c>
      <c r="J6" s="8">
        <f t="shared" si="9"/>
        <v>40179</v>
      </c>
      <c r="K6" s="7" t="str">
        <f t="shared" ref="K6:K60" si="10" xml:space="preserve"> CHOOSE( WEEKDAY($I6), "Sun", "Mon", "Tue", "Wed", "Thu", "Fri", "Sat")</f>
        <v>Fri</v>
      </c>
      <c r="L6" s="29">
        <f t="shared" ref="L6:L60" si="11" xml:space="preserve"> TIME(0, 0, 0) + $D6 * (TIME(1, 0, 0) - TIME(0, 0, 0))</f>
        <v>0</v>
      </c>
    </row>
    <row r="7" spans="1:13" x14ac:dyDescent="0.55000000000000004">
      <c r="A7" s="7" t="s">
        <v>27</v>
      </c>
      <c r="C7" s="22" t="str">
        <f t="shared" si="4"/>
        <v>exp(-3)</v>
      </c>
      <c r="D7" s="23">
        <f xml:space="preserve"> EXP(-3)</f>
        <v>4.9787068367863944E-2</v>
      </c>
      <c r="E7" s="24">
        <f t="shared" si="5"/>
        <v>49.787068367863945</v>
      </c>
      <c r="F7" s="25">
        <f t="shared" si="6"/>
        <v>4.9787068367863944E-2</v>
      </c>
      <c r="G7" s="26">
        <f t="shared" si="7"/>
        <v>49.787068367863945</v>
      </c>
      <c r="H7" s="27">
        <f t="shared" si="8"/>
        <v>4.9787068367863944E-2</v>
      </c>
      <c r="I7" s="28">
        <f t="shared" si="9"/>
        <v>40197.122492885901</v>
      </c>
      <c r="J7" s="8">
        <f t="shared" si="9"/>
        <v>40197.122492885901</v>
      </c>
      <c r="K7" s="7" t="str">
        <f t="shared" si="10"/>
        <v>Tue</v>
      </c>
      <c r="L7" s="29">
        <f t="shared" si="11"/>
        <v>2.0744611819943307E-3</v>
      </c>
    </row>
    <row r="8" spans="1:13" x14ac:dyDescent="0.55000000000000004">
      <c r="A8" s="7" t="s">
        <v>28</v>
      </c>
      <c r="C8" s="22" t="str">
        <f t="shared" si="4"/>
        <v>eleventh</v>
      </c>
      <c r="D8" s="23">
        <f xml:space="preserve"> 1/11</f>
        <v>9.0909090909090912E-2</v>
      </c>
      <c r="E8" s="24">
        <f t="shared" si="5"/>
        <v>90.909090909090907</v>
      </c>
      <c r="F8" s="25">
        <f t="shared" si="6"/>
        <v>9.0909090909090912E-2</v>
      </c>
      <c r="G8" s="26">
        <f t="shared" si="7"/>
        <v>90.909090909090907</v>
      </c>
      <c r="H8" s="27">
        <f t="shared" si="8"/>
        <v>9.0909090909090912E-2</v>
      </c>
      <c r="I8" s="28">
        <f t="shared" si="9"/>
        <v>40212.090909090912</v>
      </c>
      <c r="J8" s="8">
        <f t="shared" si="9"/>
        <v>40212.090909090912</v>
      </c>
      <c r="K8" s="7" t="str">
        <f t="shared" si="10"/>
        <v>Wed</v>
      </c>
      <c r="L8" s="29">
        <f t="shared" si="11"/>
        <v>3.787878787878788E-3</v>
      </c>
    </row>
    <row r="9" spans="1:13" x14ac:dyDescent="0.55000000000000004">
      <c r="A9" s="7" t="s">
        <v>29</v>
      </c>
      <c r="C9" s="22" t="str">
        <f t="shared" si="4"/>
        <v>exp(-2)</v>
      </c>
      <c r="D9" s="23">
        <f xml:space="preserve"> EXP(-2)</f>
        <v>0.1353352832366127</v>
      </c>
      <c r="E9" s="24">
        <f t="shared" si="5"/>
        <v>135.3352832366127</v>
      </c>
      <c r="F9" s="25">
        <f t="shared" si="6"/>
        <v>0.1353352832366127</v>
      </c>
      <c r="G9" s="26">
        <f t="shared" si="7"/>
        <v>135.3352832366127</v>
      </c>
      <c r="H9" s="27">
        <f t="shared" si="8"/>
        <v>0.1353352832366127</v>
      </c>
      <c r="I9" s="28">
        <f t="shared" si="9"/>
        <v>40228.262043098126</v>
      </c>
      <c r="J9" s="8">
        <f t="shared" si="9"/>
        <v>40228.262043098126</v>
      </c>
      <c r="K9" s="7" t="str">
        <f t="shared" si="10"/>
        <v>Fri</v>
      </c>
      <c r="L9" s="29">
        <f t="shared" si="11"/>
        <v>5.638970134858862E-3</v>
      </c>
    </row>
    <row r="10" spans="1:13" x14ac:dyDescent="0.55000000000000004">
      <c r="A10" s="7" t="s">
        <v>30</v>
      </c>
      <c r="C10" s="22" t="str">
        <f t="shared" si="4"/>
        <v>TwoPi^(-1.0)</v>
      </c>
      <c r="D10" s="23">
        <f xml:space="preserve"> 1/(2 * PI())</f>
        <v>0.15915494309189535</v>
      </c>
      <c r="E10" s="24">
        <f t="shared" si="5"/>
        <v>159.15494309189535</v>
      </c>
      <c r="F10" s="25">
        <f t="shared" si="6"/>
        <v>0.15915494309189535</v>
      </c>
      <c r="G10" s="26">
        <f t="shared" si="7"/>
        <v>159.15494309189535</v>
      </c>
      <c r="H10" s="27">
        <f t="shared" si="8"/>
        <v>0.15915494309189535</v>
      </c>
      <c r="I10" s="28">
        <f t="shared" si="9"/>
        <v>40236.932399285448</v>
      </c>
      <c r="J10" s="8">
        <f t="shared" si="9"/>
        <v>40236.932399285448</v>
      </c>
      <c r="K10" s="7" t="str">
        <f t="shared" si="10"/>
        <v>Sat</v>
      </c>
      <c r="L10" s="29">
        <f t="shared" si="11"/>
        <v>6.6314559621623061E-3</v>
      </c>
    </row>
    <row r="11" spans="1:13" x14ac:dyDescent="0.55000000000000004">
      <c r="A11" s="7" t="s">
        <v>31</v>
      </c>
      <c r="B11" s="7" t="b">
        <f xml:space="preserve"> TRUE</f>
        <v>1</v>
      </c>
      <c r="C11" s="22" t="str">
        <f t="shared" si="4"/>
        <v>Log10(2)</v>
      </c>
      <c r="D11" s="23">
        <f xml:space="preserve"> LOG(2, 10)</f>
        <v>0.30102999566398114</v>
      </c>
      <c r="E11" s="24">
        <f t="shared" si="5"/>
        <v>301.02999566398114</v>
      </c>
      <c r="F11" s="25">
        <f t="shared" si="6"/>
        <v>0.30102999566398114</v>
      </c>
      <c r="G11" s="26">
        <f t="shared" si="7"/>
        <v>301.02999566398114</v>
      </c>
      <c r="H11" s="27">
        <f t="shared" si="8"/>
        <v>0.30102999566398114</v>
      </c>
      <c r="I11" s="28">
        <f t="shared" si="9"/>
        <v>40288.574918421691</v>
      </c>
      <c r="J11" s="8">
        <f t="shared" si="9"/>
        <v>40288.574918421691</v>
      </c>
      <c r="K11" s="7" t="str">
        <f t="shared" si="10"/>
        <v>Tue</v>
      </c>
      <c r="L11" s="29">
        <f t="shared" si="11"/>
        <v>1.2542916485999214E-2</v>
      </c>
    </row>
    <row r="12" spans="1:13" x14ac:dyDescent="0.55000000000000004">
      <c r="A12" s="7" t="s">
        <v>32</v>
      </c>
      <c r="C12" s="22" t="str">
        <f t="shared" si="4"/>
        <v>PI^(-1.0)</v>
      </c>
      <c r="D12" s="23">
        <f xml:space="preserve"> 1/PI()</f>
        <v>0.31830988618379069</v>
      </c>
      <c r="E12" s="24">
        <f t="shared" si="5"/>
        <v>318.3098861837907</v>
      </c>
      <c r="F12" s="25">
        <f t="shared" si="6"/>
        <v>0.31830988618379069</v>
      </c>
      <c r="G12" s="26">
        <f t="shared" si="7"/>
        <v>318.3098861837907</v>
      </c>
      <c r="H12" s="27">
        <f t="shared" si="8"/>
        <v>0.31830988618379069</v>
      </c>
      <c r="I12" s="28">
        <f t="shared" si="9"/>
        <v>40294.864798570903</v>
      </c>
      <c r="J12" s="8">
        <f t="shared" si="9"/>
        <v>40294.864798570903</v>
      </c>
      <c r="K12" s="7" t="str">
        <f t="shared" si="10"/>
        <v>Mon</v>
      </c>
      <c r="L12" s="29">
        <f t="shared" si="11"/>
        <v>1.3262911924324612E-2</v>
      </c>
    </row>
    <row r="13" spans="1:13" x14ac:dyDescent="0.55000000000000004">
      <c r="A13" s="7" t="s">
        <v>33</v>
      </c>
      <c r="C13" s="22" t="str">
        <f t="shared" si="4"/>
        <v>exp(-1)</v>
      </c>
      <c r="D13" s="23">
        <f xml:space="preserve"> EXP(-1)</f>
        <v>0.36787944117144233</v>
      </c>
      <c r="E13" s="24">
        <f t="shared" si="5"/>
        <v>367.87944117144235</v>
      </c>
      <c r="F13" s="25">
        <f t="shared" si="6"/>
        <v>0.36787944117144233</v>
      </c>
      <c r="G13" s="26">
        <f t="shared" si="7"/>
        <v>367.87944117144235</v>
      </c>
      <c r="H13" s="27">
        <f t="shared" si="8"/>
        <v>0.36787944117144233</v>
      </c>
      <c r="I13" s="28">
        <f t="shared" si="9"/>
        <v>40312.908116586405</v>
      </c>
      <c r="J13" s="8">
        <f t="shared" si="9"/>
        <v>40312.908116586405</v>
      </c>
      <c r="K13" s="7" t="str">
        <f t="shared" si="10"/>
        <v>Fri</v>
      </c>
      <c r="L13" s="29">
        <f t="shared" si="11"/>
        <v>1.5328310048810096E-2</v>
      </c>
    </row>
    <row r="14" spans="1:13" x14ac:dyDescent="0.55000000000000004">
      <c r="A14" s="7" t="s">
        <v>34</v>
      </c>
      <c r="C14" s="22" t="str">
        <f t="shared" si="4"/>
        <v>TwoPi^(-0.5)</v>
      </c>
      <c r="D14" s="23">
        <f xml:space="preserve"> 1/SQRT( 2 * PI() )</f>
        <v>0.3989422804014327</v>
      </c>
      <c r="E14" s="24">
        <f t="shared" si="5"/>
        <v>398.9422804014327</v>
      </c>
      <c r="F14" s="25">
        <f t="shared" si="6"/>
        <v>0.3989422804014327</v>
      </c>
      <c r="G14" s="26">
        <f t="shared" si="7"/>
        <v>398.9422804014327</v>
      </c>
      <c r="H14" s="27">
        <f t="shared" si="8"/>
        <v>0.3989422804014327</v>
      </c>
      <c r="I14" s="28">
        <f t="shared" si="9"/>
        <v>40324.214990066124</v>
      </c>
      <c r="J14" s="8">
        <f t="shared" si="9"/>
        <v>40324.214990066124</v>
      </c>
      <c r="K14" s="7" t="str">
        <f t="shared" si="10"/>
        <v>Wed</v>
      </c>
      <c r="L14" s="29">
        <f t="shared" si="11"/>
        <v>1.662259501672636E-2</v>
      </c>
    </row>
    <row r="15" spans="1:13" x14ac:dyDescent="0.55000000000000004">
      <c r="A15" s="7" t="s">
        <v>35</v>
      </c>
      <c r="C15" s="22" t="str">
        <f t="shared" si="4"/>
        <v>Log10(e)</v>
      </c>
      <c r="D15" s="23">
        <f xml:space="preserve"> LOG(EXP(1), 10)</f>
        <v>0.43429448190325176</v>
      </c>
      <c r="E15" s="24">
        <f t="shared" si="5"/>
        <v>434.29448190325178</v>
      </c>
      <c r="F15" s="25">
        <f t="shared" si="6"/>
        <v>0.43429448190325176</v>
      </c>
      <c r="G15" s="26">
        <f t="shared" si="7"/>
        <v>434.29448190325178</v>
      </c>
      <c r="H15" s="27">
        <f t="shared" si="8"/>
        <v>0.43429448190325176</v>
      </c>
      <c r="I15" s="28">
        <f t="shared" si="9"/>
        <v>40337.083191412785</v>
      </c>
      <c r="J15" s="8">
        <f t="shared" si="9"/>
        <v>40337.083191412785</v>
      </c>
      <c r="K15" s="7" t="str">
        <f t="shared" si="10"/>
        <v>Tue</v>
      </c>
      <c r="L15" s="29">
        <f t="shared" si="11"/>
        <v>1.809560341263549E-2</v>
      </c>
    </row>
    <row r="16" spans="1:13" x14ac:dyDescent="0.55000000000000004">
      <c r="A16" s="7" t="s">
        <v>36</v>
      </c>
      <c r="B16" s="7" t="b">
        <f xml:space="preserve"> TRUE</f>
        <v>1</v>
      </c>
      <c r="C16" s="22" t="str">
        <f t="shared" si="4"/>
        <v>Log10(3)</v>
      </c>
      <c r="D16" s="23">
        <f xml:space="preserve"> LOG(3, 10)</f>
        <v>0.47712125471966244</v>
      </c>
      <c r="E16" s="24">
        <f t="shared" si="5"/>
        <v>477.12125471966243</v>
      </c>
      <c r="F16" s="25">
        <f t="shared" si="6"/>
        <v>0.47712125471966244</v>
      </c>
      <c r="G16" s="26">
        <f t="shared" si="7"/>
        <v>477.12125471966243</v>
      </c>
      <c r="H16" s="27">
        <f t="shared" si="8"/>
        <v>0.47712125471966244</v>
      </c>
      <c r="I16" s="28">
        <f t="shared" si="9"/>
        <v>40352.672136717956</v>
      </c>
      <c r="J16" s="8">
        <f t="shared" si="9"/>
        <v>40352.672136717956</v>
      </c>
      <c r="K16" s="7" t="str">
        <f t="shared" si="10"/>
        <v>Wed</v>
      </c>
      <c r="L16" s="29">
        <f t="shared" si="11"/>
        <v>1.9880052279985932E-2</v>
      </c>
    </row>
    <row r="17" spans="1:13" x14ac:dyDescent="0.55000000000000004">
      <c r="A17" s="7" t="s">
        <v>37</v>
      </c>
      <c r="C17" s="22" t="str">
        <f t="shared" si="4"/>
        <v>PI^(-0.5)</v>
      </c>
      <c r="D17" s="23">
        <f xml:space="preserve"> 1/SQRT( PI() )</f>
        <v>0.56418958354775628</v>
      </c>
      <c r="E17" s="24">
        <f t="shared" si="5"/>
        <v>564.18958354775623</v>
      </c>
      <c r="F17" s="25">
        <f t="shared" si="6"/>
        <v>0.56418958354775628</v>
      </c>
      <c r="G17" s="26">
        <f t="shared" si="7"/>
        <v>564.18958354775623</v>
      </c>
      <c r="H17" s="27">
        <f t="shared" si="8"/>
        <v>0.56418958354775628</v>
      </c>
      <c r="I17" s="28">
        <f t="shared" si="9"/>
        <v>40384.365008411383</v>
      </c>
      <c r="J17" s="8">
        <f t="shared" si="9"/>
        <v>40384.365008411383</v>
      </c>
      <c r="K17" s="7" t="str">
        <f t="shared" si="10"/>
        <v>Sun</v>
      </c>
      <c r="L17" s="29">
        <f t="shared" si="11"/>
        <v>2.3507899314489843E-2</v>
      </c>
    </row>
    <row r="18" spans="1:13" x14ac:dyDescent="0.55000000000000004">
      <c r="A18" s="7" t="s">
        <v>38</v>
      </c>
      <c r="C18" s="22" t="str">
        <f t="shared" si="4"/>
        <v>gamma</v>
      </c>
      <c r="D18" s="23">
        <v>0.57721599999999995</v>
      </c>
      <c r="E18" s="24">
        <f t="shared" si="5"/>
        <v>577.21599999999989</v>
      </c>
      <c r="F18" s="25">
        <f t="shared" si="6"/>
        <v>0.57721599999999995</v>
      </c>
      <c r="G18" s="26">
        <f t="shared" si="7"/>
        <v>577.21599999999989</v>
      </c>
      <c r="H18" s="27">
        <f t="shared" si="8"/>
        <v>0.57721599999999995</v>
      </c>
      <c r="I18" s="28">
        <f t="shared" si="9"/>
        <v>40389.106624</v>
      </c>
      <c r="J18" s="8">
        <f t="shared" si="9"/>
        <v>40389.106624</v>
      </c>
      <c r="K18" s="7" t="str">
        <f t="shared" si="10"/>
        <v>Fri</v>
      </c>
      <c r="L18" s="29">
        <f t="shared" si="11"/>
        <v>2.4050666666666665E-2</v>
      </c>
    </row>
    <row r="19" spans="1:13" x14ac:dyDescent="0.55000000000000004">
      <c r="A19" s="7" t="s">
        <v>39</v>
      </c>
      <c r="C19" s="22" t="str">
        <f t="shared" si="4"/>
        <v>ln(2)</v>
      </c>
      <c r="D19" s="23">
        <f xml:space="preserve"> LN(2)</f>
        <v>0.69314718055994529</v>
      </c>
      <c r="E19" s="24">
        <f t="shared" si="5"/>
        <v>693.14718055994524</v>
      </c>
      <c r="F19" s="25">
        <f t="shared" si="6"/>
        <v>0.69314718055994529</v>
      </c>
      <c r="G19" s="26">
        <f t="shared" si="7"/>
        <v>693.14718055994524</v>
      </c>
      <c r="H19" s="27">
        <f t="shared" si="8"/>
        <v>0.69314718055994529</v>
      </c>
      <c r="I19" s="28">
        <f t="shared" si="9"/>
        <v>40431.305573723817</v>
      </c>
      <c r="J19" s="8">
        <f t="shared" si="9"/>
        <v>40431.305573723817</v>
      </c>
      <c r="K19" s="7" t="str">
        <f t="shared" si="10"/>
        <v>Fri</v>
      </c>
      <c r="L19" s="29">
        <f t="shared" si="11"/>
        <v>2.8881132523331052E-2</v>
      </c>
      <c r="M19" s="7" t="s">
        <v>40</v>
      </c>
    </row>
    <row r="20" spans="1:13" x14ac:dyDescent="0.55000000000000004">
      <c r="A20" s="7" t="s">
        <v>41</v>
      </c>
      <c r="B20" s="7" t="b">
        <f xml:space="preserve"> TRUE</f>
        <v>1</v>
      </c>
      <c r="C20" s="22" t="str">
        <f t="shared" si="4"/>
        <v>Log10(5)</v>
      </c>
      <c r="D20" s="23">
        <f xml:space="preserve"> LOG(5, 10)</f>
        <v>0.69897000433601875</v>
      </c>
      <c r="E20" s="24">
        <f t="shared" si="5"/>
        <v>698.97000433601875</v>
      </c>
      <c r="F20" s="25">
        <f t="shared" si="6"/>
        <v>0.69897000433601875</v>
      </c>
      <c r="G20" s="26">
        <f t="shared" si="7"/>
        <v>698.97000433601875</v>
      </c>
      <c r="H20" s="27">
        <f t="shared" si="8"/>
        <v>0.69897000433601875</v>
      </c>
      <c r="I20" s="28">
        <f t="shared" si="9"/>
        <v>40433.425081578309</v>
      </c>
      <c r="J20" s="8">
        <f t="shared" si="9"/>
        <v>40433.425081578309</v>
      </c>
      <c r="K20" s="7" t="str">
        <f t="shared" si="10"/>
        <v>Sun</v>
      </c>
      <c r="L20" s="29">
        <f t="shared" si="11"/>
        <v>2.9123750180667447E-2</v>
      </c>
    </row>
    <row r="21" spans="1:13" x14ac:dyDescent="0.55000000000000004">
      <c r="A21" s="7" t="s">
        <v>42</v>
      </c>
      <c r="C21" s="22" t="str">
        <f t="shared" si="4"/>
        <v>sin45</v>
      </c>
      <c r="D21" s="23">
        <f xml:space="preserve"> SQRT(2)/2</f>
        <v>0.70710678118654757</v>
      </c>
      <c r="E21" s="24">
        <f t="shared" si="5"/>
        <v>707.10678118654755</v>
      </c>
      <c r="F21" s="25">
        <f t="shared" si="6"/>
        <v>0.70710678118654757</v>
      </c>
      <c r="G21" s="26">
        <f t="shared" si="7"/>
        <v>707.10678118654755</v>
      </c>
      <c r="H21" s="27">
        <f t="shared" si="8"/>
        <v>0.70710678118654757</v>
      </c>
      <c r="I21" s="28">
        <f t="shared" si="9"/>
        <v>40436.386868351903</v>
      </c>
      <c r="J21" s="8">
        <f t="shared" si="9"/>
        <v>40436.386868351903</v>
      </c>
      <c r="K21" s="7" t="str">
        <f t="shared" si="10"/>
        <v>Wed</v>
      </c>
      <c r="L21" s="29">
        <f t="shared" si="11"/>
        <v>2.946278254943948E-2</v>
      </c>
    </row>
    <row r="22" spans="1:13" x14ac:dyDescent="0.55000000000000004">
      <c r="A22" s="7" t="s">
        <v>43</v>
      </c>
      <c r="C22" s="22" t="str">
        <f t="shared" si="4"/>
        <v>PI/4</v>
      </c>
      <c r="D22" s="23">
        <f xml:space="preserve"> PI()/4</f>
        <v>0.78539816339744828</v>
      </c>
      <c r="E22" s="24">
        <f t="shared" si="5"/>
        <v>785.39816339744823</v>
      </c>
      <c r="F22" s="25">
        <f t="shared" si="6"/>
        <v>0.78539816339744828</v>
      </c>
      <c r="G22" s="26">
        <f t="shared" si="7"/>
        <v>785.39816339744823</v>
      </c>
      <c r="H22" s="27">
        <f t="shared" si="8"/>
        <v>0.78539816339744828</v>
      </c>
      <c r="I22" s="28">
        <f t="shared" si="9"/>
        <v>40464.88493147667</v>
      </c>
      <c r="J22" s="8">
        <f t="shared" si="9"/>
        <v>40464.88493147667</v>
      </c>
      <c r="K22" s="7" t="str">
        <f t="shared" si="10"/>
        <v>Wed</v>
      </c>
      <c r="L22" s="29">
        <f t="shared" si="11"/>
        <v>3.2724923474893676E-2</v>
      </c>
      <c r="M22" s="7" t="s">
        <v>44</v>
      </c>
    </row>
    <row r="23" spans="1:13" x14ac:dyDescent="0.55000000000000004">
      <c r="A23" s="7" t="s">
        <v>45</v>
      </c>
      <c r="C23" s="22" t="str">
        <f t="shared" si="4"/>
        <v>PI^(+2.0)/12</v>
      </c>
      <c r="D23" s="23">
        <f xml:space="preserve"> PI()^2/12</f>
        <v>0.8224670334241132</v>
      </c>
      <c r="E23" s="24">
        <f t="shared" si="5"/>
        <v>822.4670334241132</v>
      </c>
      <c r="F23" s="25">
        <f t="shared" si="6"/>
        <v>0.8224670334241132</v>
      </c>
      <c r="G23" s="26">
        <f t="shared" si="7"/>
        <v>822.4670334241132</v>
      </c>
      <c r="H23" s="27">
        <f t="shared" si="8"/>
        <v>0.8224670334241132</v>
      </c>
      <c r="I23" s="28">
        <f t="shared" si="9"/>
        <v>40478.378000166376</v>
      </c>
      <c r="J23" s="8">
        <f t="shared" si="9"/>
        <v>40478.378000166376</v>
      </c>
      <c r="K23" s="7" t="str">
        <f t="shared" si="10"/>
        <v>Wed</v>
      </c>
      <c r="L23" s="29">
        <f t="shared" si="11"/>
        <v>3.4269459726004717E-2</v>
      </c>
      <c r="M23" s="7" t="s">
        <v>46</v>
      </c>
    </row>
    <row r="24" spans="1:13" x14ac:dyDescent="0.55000000000000004">
      <c r="A24" s="7" t="s">
        <v>47</v>
      </c>
      <c r="B24" s="7" t="b">
        <f xml:space="preserve"> TRUE</f>
        <v>1</v>
      </c>
      <c r="C24" s="22" t="str">
        <f t="shared" si="4"/>
        <v>Log10(7)</v>
      </c>
      <c r="D24" s="23">
        <f xml:space="preserve"> LOG(7, 10)</f>
        <v>0.8450980400142567</v>
      </c>
      <c r="E24" s="24">
        <f t="shared" si="5"/>
        <v>845.09804001425675</v>
      </c>
      <c r="F24" s="25">
        <f t="shared" si="6"/>
        <v>0.8450980400142567</v>
      </c>
      <c r="G24" s="26">
        <f t="shared" si="7"/>
        <v>845.09804001425675</v>
      </c>
      <c r="H24" s="27">
        <f t="shared" si="8"/>
        <v>0.8450980400142567</v>
      </c>
      <c r="I24" s="28">
        <f t="shared" si="9"/>
        <v>40486.615686565186</v>
      </c>
      <c r="J24" s="8">
        <f t="shared" si="9"/>
        <v>40486.615686565186</v>
      </c>
      <c r="K24" s="7" t="str">
        <f t="shared" si="10"/>
        <v>Thu</v>
      </c>
      <c r="L24" s="29">
        <f t="shared" si="11"/>
        <v>3.521241833392736E-2</v>
      </c>
    </row>
    <row r="25" spans="1:13" x14ac:dyDescent="0.55000000000000004">
      <c r="A25" s="7" t="s">
        <v>48</v>
      </c>
      <c r="C25" s="22" t="str">
        <f t="shared" si="4"/>
        <v>atan_3_4</v>
      </c>
      <c r="D25" s="23">
        <f xml:space="preserve"> ATAN2(3,4)</f>
        <v>0.92729521800161219</v>
      </c>
      <c r="E25" s="24">
        <f t="shared" si="5"/>
        <v>927.29521800161217</v>
      </c>
      <c r="F25" s="25">
        <f t="shared" si="6"/>
        <v>0.92729521800161219</v>
      </c>
      <c r="G25" s="26">
        <f t="shared" si="7"/>
        <v>927.29521800161217</v>
      </c>
      <c r="H25" s="27">
        <f t="shared" si="8"/>
        <v>0.92729521800161219</v>
      </c>
      <c r="I25" s="28">
        <f t="shared" si="9"/>
        <v>40516.535459352584</v>
      </c>
      <c r="J25" s="8">
        <f t="shared" si="9"/>
        <v>40516.535459352584</v>
      </c>
      <c r="K25" s="7" t="str">
        <f t="shared" si="10"/>
        <v>Sat</v>
      </c>
      <c r="L25" s="29">
        <f t="shared" si="11"/>
        <v>3.8637300750067174E-2</v>
      </c>
    </row>
    <row r="26" spans="1:13" x14ac:dyDescent="0.55000000000000004">
      <c r="A26" s="7" t="s">
        <v>49</v>
      </c>
      <c r="B26" s="7" t="b">
        <f xml:space="preserve"> TRUE</f>
        <v>1</v>
      </c>
      <c r="C26" s="22" t="str">
        <f t="shared" si="4"/>
        <v>Log10(11)</v>
      </c>
      <c r="D26" s="23">
        <f xml:space="preserve"> LOG(11, 10)</f>
        <v>1.0413926851582249</v>
      </c>
      <c r="E26" s="24">
        <f t="shared" si="5"/>
        <v>1041.3926851582248</v>
      </c>
      <c r="F26" s="25">
        <f t="shared" si="6"/>
        <v>1.0413926851582249</v>
      </c>
      <c r="G26" s="26">
        <f t="shared" si="7"/>
        <v>1041.3926851582248</v>
      </c>
      <c r="H26" s="27">
        <f t="shared" si="8"/>
        <v>1.0413926851582249</v>
      </c>
      <c r="I26" s="28">
        <f t="shared" ref="I26:J45" si="12" xml:space="preserve"> DATE(2010, 1, 1) + $D26 * (DATE(2010, 12, 31) - DATE(2010, 1, 1))</f>
        <v>40558.066937397591</v>
      </c>
      <c r="J26" s="8">
        <f t="shared" si="12"/>
        <v>40558.066937397591</v>
      </c>
      <c r="K26" s="7" t="str">
        <f t="shared" si="10"/>
        <v>Sat</v>
      </c>
      <c r="L26" s="29">
        <f t="shared" si="11"/>
        <v>4.3391361881592705E-2</v>
      </c>
    </row>
    <row r="27" spans="1:13" x14ac:dyDescent="0.55000000000000004">
      <c r="A27" s="7" t="s">
        <v>50</v>
      </c>
      <c r="B27" s="7" t="b">
        <f xml:space="preserve"> TRUE</f>
        <v>1</v>
      </c>
      <c r="C27" s="22" t="str">
        <f t="shared" si="4"/>
        <v>Log10(13)</v>
      </c>
      <c r="D27" s="23">
        <f xml:space="preserve"> LOG(13, 10)</f>
        <v>1.1139433523068367</v>
      </c>
      <c r="E27" s="24">
        <f t="shared" si="5"/>
        <v>1113.9433523068367</v>
      </c>
      <c r="F27" s="25">
        <f t="shared" si="6"/>
        <v>1.1139433523068367</v>
      </c>
      <c r="G27" s="26">
        <f t="shared" si="7"/>
        <v>1113.9433523068367</v>
      </c>
      <c r="H27" s="27">
        <f t="shared" si="8"/>
        <v>1.1139433523068367</v>
      </c>
      <c r="I27" s="28">
        <f t="shared" si="12"/>
        <v>40584.475380239688</v>
      </c>
      <c r="J27" s="8">
        <f t="shared" si="12"/>
        <v>40584.475380239688</v>
      </c>
      <c r="K27" s="7" t="str">
        <f t="shared" si="10"/>
        <v>Thu</v>
      </c>
      <c r="L27" s="29">
        <f t="shared" si="11"/>
        <v>4.6414306346118192E-2</v>
      </c>
    </row>
    <row r="28" spans="1:13" x14ac:dyDescent="0.55000000000000004">
      <c r="A28" s="7" t="s">
        <v>51</v>
      </c>
      <c r="B28" s="7" t="b">
        <f xml:space="preserve"> TRUE</f>
        <v>1</v>
      </c>
      <c r="C28" s="22" t="str">
        <f t="shared" si="4"/>
        <v>Log10(17)</v>
      </c>
      <c r="D28" s="23">
        <f xml:space="preserve"> LOG(17, 10)</f>
        <v>1.2304489213782739</v>
      </c>
      <c r="E28" s="24">
        <f t="shared" si="5"/>
        <v>1230.4489213782738</v>
      </c>
      <c r="F28" s="25">
        <f t="shared" si="6"/>
        <v>1.2304489213782739</v>
      </c>
      <c r="G28" s="26">
        <f t="shared" si="7"/>
        <v>1230.4489213782738</v>
      </c>
      <c r="H28" s="27">
        <f t="shared" si="8"/>
        <v>1.2304489213782739</v>
      </c>
      <c r="I28" s="28">
        <f t="shared" si="12"/>
        <v>40626.883407381691</v>
      </c>
      <c r="J28" s="8">
        <f t="shared" si="12"/>
        <v>40626.883407381691</v>
      </c>
      <c r="K28" s="7" t="str">
        <f t="shared" si="10"/>
        <v>Thu</v>
      </c>
      <c r="L28" s="29">
        <f t="shared" si="11"/>
        <v>5.1268705057428074E-2</v>
      </c>
    </row>
    <row r="29" spans="1:13" x14ac:dyDescent="0.55000000000000004">
      <c r="A29" s="7" t="s">
        <v>52</v>
      </c>
      <c r="B29" s="7" t="b">
        <f xml:space="preserve"> TRUE</f>
        <v>1</v>
      </c>
      <c r="C29" s="22" t="str">
        <f t="shared" si="4"/>
        <v>Log10(19)</v>
      </c>
      <c r="D29" s="23">
        <f xml:space="preserve"> LOG(19, 10)</f>
        <v>1.2787536009528289</v>
      </c>
      <c r="E29" s="24">
        <f t="shared" si="5"/>
        <v>1278.7536009528289</v>
      </c>
      <c r="F29" s="25">
        <f t="shared" si="6"/>
        <v>1.2787536009528289</v>
      </c>
      <c r="G29" s="26">
        <f t="shared" si="7"/>
        <v>1278.7536009528289</v>
      </c>
      <c r="H29" s="27">
        <f t="shared" si="8"/>
        <v>1.2787536009528289</v>
      </c>
      <c r="I29" s="28">
        <f t="shared" si="12"/>
        <v>40644.46631074683</v>
      </c>
      <c r="J29" s="8">
        <f t="shared" si="12"/>
        <v>40644.46631074683</v>
      </c>
      <c r="K29" s="7" t="str">
        <f t="shared" si="10"/>
        <v>Mon</v>
      </c>
      <c r="L29" s="29">
        <f t="shared" si="11"/>
        <v>5.32814000397012E-2</v>
      </c>
    </row>
    <row r="30" spans="1:13" x14ac:dyDescent="0.55000000000000004">
      <c r="A30" s="7" t="s">
        <v>53</v>
      </c>
      <c r="B30" s="7" t="b">
        <f xml:space="preserve"> TRUE</f>
        <v>1</v>
      </c>
      <c r="C30" s="22" t="str">
        <f t="shared" si="4"/>
        <v>Log10(23)</v>
      </c>
      <c r="D30" s="23">
        <f xml:space="preserve"> LOG(23, 10)</f>
        <v>1.3617278360175928</v>
      </c>
      <c r="E30" s="24">
        <f t="shared" si="5"/>
        <v>1361.7278360175928</v>
      </c>
      <c r="F30" s="25">
        <f t="shared" si="6"/>
        <v>1.3617278360175928</v>
      </c>
      <c r="G30" s="26">
        <f t="shared" si="7"/>
        <v>1361.7278360175928</v>
      </c>
      <c r="H30" s="27">
        <f t="shared" si="8"/>
        <v>1.3617278360175928</v>
      </c>
      <c r="I30" s="28">
        <f t="shared" si="12"/>
        <v>40674.668932310407</v>
      </c>
      <c r="J30" s="8">
        <f t="shared" si="12"/>
        <v>40674.668932310407</v>
      </c>
      <c r="K30" s="7" t="str">
        <f t="shared" si="10"/>
        <v>Wed</v>
      </c>
      <c r="L30" s="29">
        <f t="shared" si="11"/>
        <v>5.6738659834066368E-2</v>
      </c>
    </row>
    <row r="31" spans="1:13" x14ac:dyDescent="0.55000000000000004">
      <c r="A31" s="7" t="s">
        <v>54</v>
      </c>
      <c r="C31" s="22" t="str">
        <f t="shared" si="4"/>
        <v>2^(+0.5)</v>
      </c>
      <c r="D31" s="23">
        <f xml:space="preserve"> SQRT(2)</f>
        <v>1.4142135623730951</v>
      </c>
      <c r="E31" s="24">
        <f t="shared" si="5"/>
        <v>1414.2135623730951</v>
      </c>
      <c r="F31" s="25">
        <f t="shared" si="6"/>
        <v>1.4142135623730951</v>
      </c>
      <c r="G31" s="26">
        <f t="shared" si="7"/>
        <v>1414.2135623730951</v>
      </c>
      <c r="H31" s="27">
        <f t="shared" si="8"/>
        <v>1.4142135623730951</v>
      </c>
      <c r="I31" s="28">
        <f t="shared" si="12"/>
        <v>40693.773736703806</v>
      </c>
      <c r="J31" s="8">
        <f t="shared" si="12"/>
        <v>40693.773736703806</v>
      </c>
      <c r="K31" s="7" t="str">
        <f t="shared" si="10"/>
        <v>Mon</v>
      </c>
      <c r="L31" s="29">
        <f t="shared" si="11"/>
        <v>5.892556509887896E-2</v>
      </c>
    </row>
    <row r="32" spans="1:13" x14ac:dyDescent="0.55000000000000004">
      <c r="A32" s="7" t="s">
        <v>55</v>
      </c>
      <c r="B32" s="7" t="b">
        <f xml:space="preserve"> TRUE</f>
        <v>1</v>
      </c>
      <c r="C32" s="22" t="str">
        <f t="shared" si="4"/>
        <v>Log10(29)</v>
      </c>
      <c r="D32" s="23">
        <f xml:space="preserve"> LOG(29, 10)</f>
        <v>1.4623979978989561</v>
      </c>
      <c r="E32" s="24">
        <f t="shared" si="5"/>
        <v>1462.3979978989562</v>
      </c>
      <c r="F32" s="25">
        <f t="shared" si="6"/>
        <v>1.4623979978989561</v>
      </c>
      <c r="G32" s="26">
        <f t="shared" si="7"/>
        <v>1462.3979978989562</v>
      </c>
      <c r="H32" s="27">
        <f t="shared" si="8"/>
        <v>1.4623979978989561</v>
      </c>
      <c r="I32" s="28">
        <f t="shared" si="12"/>
        <v>40711.312871235219</v>
      </c>
      <c r="J32" s="8">
        <f t="shared" si="12"/>
        <v>40711.312871235219</v>
      </c>
      <c r="K32" s="7" t="str">
        <f t="shared" si="10"/>
        <v>Fri</v>
      </c>
      <c r="L32" s="29">
        <f t="shared" si="11"/>
        <v>6.0933249912456501E-2</v>
      </c>
    </row>
    <row r="33" spans="1:13" x14ac:dyDescent="0.55000000000000004">
      <c r="A33" s="7" t="s">
        <v>56</v>
      </c>
      <c r="B33" s="7" t="b">
        <f xml:space="preserve"> TRUE</f>
        <v>1</v>
      </c>
      <c r="C33" s="22" t="str">
        <f t="shared" si="4"/>
        <v>Log10(31)</v>
      </c>
      <c r="D33" s="23">
        <f xml:space="preserve"> LOG(31, 10)</f>
        <v>1.4913616938342726</v>
      </c>
      <c r="E33" s="24">
        <f t="shared" si="5"/>
        <v>1491.3616938342727</v>
      </c>
      <c r="F33" s="25">
        <f t="shared" si="6"/>
        <v>1.4913616938342726</v>
      </c>
      <c r="G33" s="26">
        <f t="shared" si="7"/>
        <v>1491.3616938342727</v>
      </c>
      <c r="H33" s="27">
        <f t="shared" si="8"/>
        <v>1.4913616938342726</v>
      </c>
      <c r="I33" s="28">
        <f t="shared" si="12"/>
        <v>40721.855656555672</v>
      </c>
      <c r="J33" s="8">
        <f t="shared" si="12"/>
        <v>40721.855656555672</v>
      </c>
      <c r="K33" s="7" t="str">
        <f t="shared" si="10"/>
        <v>Mon</v>
      </c>
      <c r="L33" s="29">
        <f t="shared" si="11"/>
        <v>6.2140070576428022E-2</v>
      </c>
    </row>
    <row r="34" spans="1:13" x14ac:dyDescent="0.55000000000000004">
      <c r="A34" s="7" t="s">
        <v>57</v>
      </c>
      <c r="B34" s="7" t="b">
        <f xml:space="preserve"> TRUE</f>
        <v>1</v>
      </c>
      <c r="C34" s="22" t="str">
        <f t="shared" si="4"/>
        <v>Log10(37)</v>
      </c>
      <c r="D34" s="23">
        <f xml:space="preserve"> LOG(37, 10)</f>
        <v>1.5682017240669948</v>
      </c>
      <c r="E34" s="24">
        <f t="shared" si="5"/>
        <v>1568.2017240669948</v>
      </c>
      <c r="F34" s="25">
        <f t="shared" si="6"/>
        <v>1.5682017240669948</v>
      </c>
      <c r="G34" s="26">
        <f t="shared" si="7"/>
        <v>1568.2017240669948</v>
      </c>
      <c r="H34" s="27">
        <f t="shared" si="8"/>
        <v>1.5682017240669948</v>
      </c>
      <c r="I34" s="28">
        <f t="shared" si="12"/>
        <v>40749.825427560383</v>
      </c>
      <c r="J34" s="8">
        <f t="shared" si="12"/>
        <v>40749.825427560383</v>
      </c>
      <c r="K34" s="7" t="str">
        <f t="shared" si="10"/>
        <v>Mon</v>
      </c>
      <c r="L34" s="29">
        <f t="shared" si="11"/>
        <v>6.5341738502791444E-2</v>
      </c>
    </row>
    <row r="35" spans="1:13" x14ac:dyDescent="0.55000000000000004">
      <c r="A35" s="7" t="s">
        <v>58</v>
      </c>
      <c r="B35" s="7" t="b">
        <f xml:space="preserve"> TRUE</f>
        <v>1</v>
      </c>
      <c r="C35" s="22" t="str">
        <f t="shared" si="4"/>
        <v>Log10(41)</v>
      </c>
      <c r="D35" s="23">
        <f xml:space="preserve"> LOG(41, 10)</f>
        <v>1.6127838567197355</v>
      </c>
      <c r="E35" s="24">
        <f t="shared" si="5"/>
        <v>1612.7838567197355</v>
      </c>
      <c r="F35" s="25">
        <f t="shared" si="6"/>
        <v>1.6127838567197355</v>
      </c>
      <c r="G35" s="26">
        <f t="shared" si="7"/>
        <v>1612.7838567197355</v>
      </c>
      <c r="H35" s="27">
        <f t="shared" si="8"/>
        <v>1.6127838567197355</v>
      </c>
      <c r="I35" s="28">
        <f t="shared" si="12"/>
        <v>40766.053323845983</v>
      </c>
      <c r="J35" s="8">
        <f t="shared" si="12"/>
        <v>40766.053323845983</v>
      </c>
      <c r="K35" s="7" t="str">
        <f t="shared" si="10"/>
        <v>Thu</v>
      </c>
      <c r="L35" s="29">
        <f t="shared" si="11"/>
        <v>6.7199327363322306E-2</v>
      </c>
    </row>
    <row r="36" spans="1:13" x14ac:dyDescent="0.55000000000000004">
      <c r="A36" s="7" t="s">
        <v>59</v>
      </c>
      <c r="C36" s="22" t="str">
        <f t="shared" si="4"/>
        <v>phi</v>
      </c>
      <c r="D36" s="23">
        <f xml:space="preserve"> (1 + SQRT(5))/2</f>
        <v>1.6180339887498949</v>
      </c>
      <c r="E36" s="24">
        <f t="shared" si="5"/>
        <v>1618.0339887498949</v>
      </c>
      <c r="F36" s="25">
        <f t="shared" si="6"/>
        <v>1.6180339887498949</v>
      </c>
      <c r="G36" s="26">
        <f t="shared" si="7"/>
        <v>1618.0339887498949</v>
      </c>
      <c r="H36" s="27">
        <f t="shared" si="8"/>
        <v>1.6180339887498949</v>
      </c>
      <c r="I36" s="28">
        <f t="shared" si="12"/>
        <v>40767.964371904964</v>
      </c>
      <c r="J36" s="8">
        <f t="shared" si="12"/>
        <v>40767.964371904964</v>
      </c>
      <c r="K36" s="7" t="str">
        <f t="shared" si="10"/>
        <v>Fri</v>
      </c>
      <c r="L36" s="29">
        <f t="shared" si="11"/>
        <v>6.7418082864578954E-2</v>
      </c>
      <c r="M36" s="7" t="s">
        <v>60</v>
      </c>
    </row>
    <row r="37" spans="1:13" x14ac:dyDescent="0.55000000000000004">
      <c r="A37" s="7" t="s">
        <v>61</v>
      </c>
      <c r="B37" s="7" t="b">
        <f xml:space="preserve"> TRUE</f>
        <v>1</v>
      </c>
      <c r="C37" s="22" t="str">
        <f t="shared" si="4"/>
        <v>Log10(43)</v>
      </c>
      <c r="D37" s="23">
        <f xml:space="preserve"> LOG(43, 10)</f>
        <v>1.6334684555795864</v>
      </c>
      <c r="E37" s="24">
        <f t="shared" si="5"/>
        <v>1633.4684555795864</v>
      </c>
      <c r="F37" s="25">
        <f t="shared" si="6"/>
        <v>1.6334684555795864</v>
      </c>
      <c r="G37" s="26">
        <f t="shared" si="7"/>
        <v>1633.4684555795864</v>
      </c>
      <c r="H37" s="27">
        <f t="shared" si="8"/>
        <v>1.6334684555795864</v>
      </c>
      <c r="I37" s="28">
        <f t="shared" si="12"/>
        <v>40773.582517830968</v>
      </c>
      <c r="J37" s="8">
        <f t="shared" si="12"/>
        <v>40773.582517830968</v>
      </c>
      <c r="K37" s="7" t="str">
        <f t="shared" si="10"/>
        <v>Thu</v>
      </c>
      <c r="L37" s="29">
        <f t="shared" si="11"/>
        <v>6.8061185649149425E-2</v>
      </c>
    </row>
    <row r="38" spans="1:13" x14ac:dyDescent="0.55000000000000004">
      <c r="A38" s="7" t="s">
        <v>62</v>
      </c>
      <c r="C38" s="22" t="str">
        <f t="shared" si="4"/>
        <v>PI^(+2.0)/6</v>
      </c>
      <c r="D38" s="23">
        <f xml:space="preserve"> PI()^2/6</f>
        <v>1.6449340668482264</v>
      </c>
      <c r="E38" s="24">
        <f t="shared" si="5"/>
        <v>1644.9340668482264</v>
      </c>
      <c r="F38" s="25">
        <f t="shared" si="6"/>
        <v>1.6449340668482264</v>
      </c>
      <c r="G38" s="26">
        <f t="shared" si="7"/>
        <v>1644.9340668482264</v>
      </c>
      <c r="H38" s="27">
        <f t="shared" si="8"/>
        <v>1.6449340668482264</v>
      </c>
      <c r="I38" s="28">
        <f t="shared" si="12"/>
        <v>40777.756000332753</v>
      </c>
      <c r="J38" s="8">
        <f t="shared" si="12"/>
        <v>40777.756000332753</v>
      </c>
      <c r="K38" s="7" t="str">
        <f t="shared" si="10"/>
        <v>Mon</v>
      </c>
      <c r="L38" s="29">
        <f t="shared" si="11"/>
        <v>6.8538919452009434E-2</v>
      </c>
      <c r="M38" s="7" t="s">
        <v>63</v>
      </c>
    </row>
    <row r="39" spans="1:13" x14ac:dyDescent="0.55000000000000004">
      <c r="A39" s="7" t="s">
        <v>64</v>
      </c>
      <c r="B39" s="7" t="b">
        <f xml:space="preserve"> TRUE</f>
        <v>1</v>
      </c>
      <c r="C39" s="22" t="str">
        <f t="shared" si="4"/>
        <v>Log10(47)</v>
      </c>
      <c r="D39" s="23">
        <f xml:space="preserve"> LOG(47, 10)</f>
        <v>1.6720978579357173</v>
      </c>
      <c r="E39" s="24">
        <f t="shared" si="5"/>
        <v>1672.0978579357172</v>
      </c>
      <c r="F39" s="25">
        <f t="shared" si="6"/>
        <v>1.6720978579357173</v>
      </c>
      <c r="G39" s="26">
        <f t="shared" si="7"/>
        <v>1672.0978579357172</v>
      </c>
      <c r="H39" s="27">
        <f t="shared" si="8"/>
        <v>1.6720978579357173</v>
      </c>
      <c r="I39" s="28">
        <f t="shared" si="12"/>
        <v>40787.643620288603</v>
      </c>
      <c r="J39" s="8">
        <f t="shared" si="12"/>
        <v>40787.643620288603</v>
      </c>
      <c r="K39" s="7" t="str">
        <f t="shared" si="10"/>
        <v>Thu</v>
      </c>
      <c r="L39" s="29">
        <f t="shared" si="11"/>
        <v>6.9670744080654878E-2</v>
      </c>
    </row>
    <row r="40" spans="1:13" x14ac:dyDescent="0.55000000000000004">
      <c r="A40" s="7" t="s">
        <v>65</v>
      </c>
      <c r="B40" s="7" t="b">
        <f xml:space="preserve"> TRUE</f>
        <v>1</v>
      </c>
      <c r="C40" s="22" t="str">
        <f t="shared" si="4"/>
        <v>Log10(53)</v>
      </c>
      <c r="D40" s="23">
        <f xml:space="preserve"> LOG(53, 10)</f>
        <v>1.7242758696007889</v>
      </c>
      <c r="E40" s="24">
        <f t="shared" si="5"/>
        <v>1724.2758696007888</v>
      </c>
      <c r="F40" s="25">
        <f t="shared" si="6"/>
        <v>1.7242758696007889</v>
      </c>
      <c r="G40" s="26">
        <f t="shared" si="7"/>
        <v>1724.2758696007888</v>
      </c>
      <c r="H40" s="27">
        <f t="shared" si="8"/>
        <v>1.7242758696007889</v>
      </c>
      <c r="I40" s="28">
        <f t="shared" si="12"/>
        <v>40806.636416534689</v>
      </c>
      <c r="J40" s="8">
        <f t="shared" si="12"/>
        <v>40806.636416534689</v>
      </c>
      <c r="K40" s="7" t="str">
        <f t="shared" si="10"/>
        <v>Tue</v>
      </c>
      <c r="L40" s="29">
        <f t="shared" si="11"/>
        <v>7.1844827900032868E-2</v>
      </c>
    </row>
    <row r="41" spans="1:13" x14ac:dyDescent="0.55000000000000004">
      <c r="A41" s="7" t="s">
        <v>66</v>
      </c>
      <c r="C41" s="22" t="str">
        <f t="shared" si="4"/>
        <v>3^(+0.5)</v>
      </c>
      <c r="D41" s="23">
        <f xml:space="preserve"> SQRT(3)</f>
        <v>1.7320508075688772</v>
      </c>
      <c r="E41" s="24">
        <f t="shared" si="5"/>
        <v>1732.0508075688772</v>
      </c>
      <c r="F41" s="25">
        <f t="shared" si="6"/>
        <v>1.7320508075688772</v>
      </c>
      <c r="G41" s="26">
        <f t="shared" si="7"/>
        <v>1732.0508075688772</v>
      </c>
      <c r="H41" s="27">
        <f t="shared" si="8"/>
        <v>1.7320508075688772</v>
      </c>
      <c r="I41" s="28">
        <f t="shared" si="12"/>
        <v>40809.466493955071</v>
      </c>
      <c r="J41" s="8">
        <f t="shared" si="12"/>
        <v>40809.466493955071</v>
      </c>
      <c r="K41" s="7" t="str">
        <f t="shared" si="10"/>
        <v>Fri</v>
      </c>
      <c r="L41" s="29">
        <f t="shared" si="11"/>
        <v>7.2168783648703216E-2</v>
      </c>
    </row>
    <row r="42" spans="1:13" x14ac:dyDescent="0.55000000000000004">
      <c r="A42" s="7" t="s">
        <v>67</v>
      </c>
      <c r="B42" s="7" t="b">
        <f xml:space="preserve"> TRUE</f>
        <v>1</v>
      </c>
      <c r="C42" s="22" t="str">
        <f t="shared" si="4"/>
        <v>Log10(59)</v>
      </c>
      <c r="D42" s="23">
        <f xml:space="preserve"> LOG(59, 10)</f>
        <v>1.7708520116421442</v>
      </c>
      <c r="E42" s="24">
        <f t="shared" si="5"/>
        <v>1770.8520116421441</v>
      </c>
      <c r="F42" s="25">
        <f t="shared" si="6"/>
        <v>1.7708520116421442</v>
      </c>
      <c r="G42" s="26">
        <f t="shared" si="7"/>
        <v>1770.8520116421441</v>
      </c>
      <c r="H42" s="27">
        <f t="shared" si="8"/>
        <v>1.7708520116421442</v>
      </c>
      <c r="I42" s="28">
        <f t="shared" si="12"/>
        <v>40823.590132237739</v>
      </c>
      <c r="J42" s="8">
        <f t="shared" si="12"/>
        <v>40823.590132237739</v>
      </c>
      <c r="K42" s="7" t="str">
        <f t="shared" si="10"/>
        <v>Fri</v>
      </c>
      <c r="L42" s="29">
        <f t="shared" si="11"/>
        <v>7.3785500485089334E-2</v>
      </c>
    </row>
    <row r="43" spans="1:13" x14ac:dyDescent="0.55000000000000004">
      <c r="A43" s="7" t="s">
        <v>68</v>
      </c>
      <c r="C43" s="22" t="str">
        <f t="shared" si="4"/>
        <v>PI^(+0.5)</v>
      </c>
      <c r="D43" s="23">
        <f xml:space="preserve"> SQRT( PI() )</f>
        <v>1.7724538509055159</v>
      </c>
      <c r="E43" s="24">
        <f t="shared" si="5"/>
        <v>1772.453850905516</v>
      </c>
      <c r="F43" s="25">
        <f t="shared" si="6"/>
        <v>1.7724538509055159</v>
      </c>
      <c r="G43" s="26">
        <f t="shared" si="7"/>
        <v>1772.453850905516</v>
      </c>
      <c r="H43" s="27">
        <f t="shared" si="8"/>
        <v>1.7724538509055159</v>
      </c>
      <c r="I43" s="28">
        <f t="shared" si="12"/>
        <v>40824.173201729609</v>
      </c>
      <c r="J43" s="8">
        <f t="shared" si="12"/>
        <v>40824.173201729609</v>
      </c>
      <c r="K43" s="7" t="str">
        <f t="shared" si="10"/>
        <v>Sat</v>
      </c>
      <c r="L43" s="29">
        <f t="shared" si="11"/>
        <v>7.3852243787729824E-2</v>
      </c>
    </row>
    <row r="44" spans="1:13" x14ac:dyDescent="0.55000000000000004">
      <c r="A44" s="7" t="s">
        <v>69</v>
      </c>
      <c r="B44" s="7" t="b">
        <f t="shared" ref="B44:B51" si="13" xml:space="preserve"> TRUE</f>
        <v>1</v>
      </c>
      <c r="C44" s="22" t="str">
        <f t="shared" si="4"/>
        <v>Log10(61)</v>
      </c>
      <c r="D44" s="23">
        <f xml:space="preserve"> LOG(61, 10)</f>
        <v>1.7853298350107669</v>
      </c>
      <c r="E44" s="24">
        <f t="shared" si="5"/>
        <v>1785.3298350107668</v>
      </c>
      <c r="F44" s="25">
        <f t="shared" si="6"/>
        <v>1.7853298350107669</v>
      </c>
      <c r="G44" s="26">
        <f t="shared" si="7"/>
        <v>1785.3298350107668</v>
      </c>
      <c r="H44" s="27">
        <f t="shared" si="8"/>
        <v>1.7853298350107669</v>
      </c>
      <c r="I44" s="28">
        <f t="shared" si="12"/>
        <v>40828.860059943916</v>
      </c>
      <c r="J44" s="8">
        <f t="shared" si="12"/>
        <v>40828.860059943916</v>
      </c>
      <c r="K44" s="7" t="str">
        <f t="shared" si="10"/>
        <v>Wed</v>
      </c>
      <c r="L44" s="29">
        <f t="shared" si="11"/>
        <v>7.4388743125448617E-2</v>
      </c>
    </row>
    <row r="45" spans="1:13" x14ac:dyDescent="0.55000000000000004">
      <c r="A45" s="7" t="s">
        <v>70</v>
      </c>
      <c r="B45" s="7" t="b">
        <f t="shared" si="13"/>
        <v>1</v>
      </c>
      <c r="C45" s="22" t="str">
        <f t="shared" si="4"/>
        <v>Log10(67)</v>
      </c>
      <c r="D45" s="23">
        <f xml:space="preserve"> LOG(67, 10)</f>
        <v>1.8260748027008262</v>
      </c>
      <c r="E45" s="24">
        <f t="shared" si="5"/>
        <v>1826.0748027008262</v>
      </c>
      <c r="F45" s="25">
        <f t="shared" si="6"/>
        <v>1.8260748027008262</v>
      </c>
      <c r="G45" s="26">
        <f t="shared" si="7"/>
        <v>1826.0748027008262</v>
      </c>
      <c r="H45" s="27">
        <f t="shared" si="8"/>
        <v>1.8260748027008262</v>
      </c>
      <c r="I45" s="28">
        <f t="shared" si="12"/>
        <v>40843.691228183103</v>
      </c>
      <c r="J45" s="8">
        <f t="shared" si="12"/>
        <v>40843.691228183103</v>
      </c>
      <c r="K45" s="7" t="str">
        <f t="shared" si="10"/>
        <v>Thu</v>
      </c>
      <c r="L45" s="29">
        <f t="shared" si="11"/>
        <v>7.6086450112534426E-2</v>
      </c>
    </row>
    <row r="46" spans="1:13" x14ac:dyDescent="0.55000000000000004">
      <c r="A46" s="7" t="s">
        <v>71</v>
      </c>
      <c r="B46" s="7" t="b">
        <f t="shared" si="13"/>
        <v>1</v>
      </c>
      <c r="C46" s="22" t="str">
        <f t="shared" si="4"/>
        <v>Log10(71)</v>
      </c>
      <c r="D46" s="23">
        <f xml:space="preserve"> LOG(71, 10)</f>
        <v>1.851258348719075</v>
      </c>
      <c r="E46" s="24">
        <f t="shared" si="5"/>
        <v>1851.258348719075</v>
      </c>
      <c r="F46" s="25">
        <f t="shared" si="6"/>
        <v>1.851258348719075</v>
      </c>
      <c r="G46" s="26">
        <f t="shared" si="7"/>
        <v>1851.258348719075</v>
      </c>
      <c r="H46" s="27">
        <f t="shared" si="8"/>
        <v>1.851258348719075</v>
      </c>
      <c r="I46" s="28">
        <f t="shared" ref="I46:J60" si="14" xml:space="preserve"> DATE(2010, 1, 1) + $D46 * (DATE(2010, 12, 31) - DATE(2010, 1, 1))</f>
        <v>40852.858038933744</v>
      </c>
      <c r="J46" s="8">
        <f t="shared" si="14"/>
        <v>40852.858038933744</v>
      </c>
      <c r="K46" s="7" t="str">
        <f t="shared" si="10"/>
        <v>Sat</v>
      </c>
      <c r="L46" s="29">
        <f t="shared" si="11"/>
        <v>7.7135764529961459E-2</v>
      </c>
    </row>
    <row r="47" spans="1:13" x14ac:dyDescent="0.55000000000000004">
      <c r="A47" s="7" t="s">
        <v>72</v>
      </c>
      <c r="B47" s="7" t="b">
        <f t="shared" si="13"/>
        <v>1</v>
      </c>
      <c r="C47" s="22" t="str">
        <f t="shared" si="4"/>
        <v>Log10(73)</v>
      </c>
      <c r="D47" s="23">
        <f xml:space="preserve"> LOG(73, 10)</f>
        <v>1.8633228601204557</v>
      </c>
      <c r="E47" s="24">
        <f t="shared" si="5"/>
        <v>1863.3228601204557</v>
      </c>
      <c r="F47" s="25">
        <f t="shared" si="6"/>
        <v>1.8633228601204557</v>
      </c>
      <c r="G47" s="26">
        <f t="shared" si="7"/>
        <v>1863.3228601204557</v>
      </c>
      <c r="H47" s="27">
        <f t="shared" si="8"/>
        <v>1.8633228601204557</v>
      </c>
      <c r="I47" s="28">
        <f t="shared" si="14"/>
        <v>40857.249521083846</v>
      </c>
      <c r="J47" s="8">
        <f t="shared" si="14"/>
        <v>40857.249521083846</v>
      </c>
      <c r="K47" s="7" t="str">
        <f t="shared" si="10"/>
        <v>Thu</v>
      </c>
      <c r="L47" s="29">
        <f t="shared" si="11"/>
        <v>7.7638452505018982E-2</v>
      </c>
    </row>
    <row r="48" spans="1:13" x14ac:dyDescent="0.55000000000000004">
      <c r="A48" s="7" t="s">
        <v>73</v>
      </c>
      <c r="B48" s="7" t="b">
        <f t="shared" si="13"/>
        <v>1</v>
      </c>
      <c r="C48" s="22" t="str">
        <f t="shared" si="4"/>
        <v>Log10(79)</v>
      </c>
      <c r="D48" s="23">
        <f xml:space="preserve"> LOG(79, 10)</f>
        <v>1.8976270912904412</v>
      </c>
      <c r="E48" s="24">
        <f t="shared" si="5"/>
        <v>1897.6270912904411</v>
      </c>
      <c r="F48" s="25">
        <f t="shared" si="6"/>
        <v>1.8976270912904412</v>
      </c>
      <c r="G48" s="26">
        <f t="shared" si="7"/>
        <v>1897.6270912904411</v>
      </c>
      <c r="H48" s="27">
        <f t="shared" si="8"/>
        <v>1.8976270912904412</v>
      </c>
      <c r="I48" s="28">
        <f t="shared" si="14"/>
        <v>40869.736261229722</v>
      </c>
      <c r="J48" s="8">
        <f t="shared" si="14"/>
        <v>40869.736261229722</v>
      </c>
      <c r="K48" s="7" t="str">
        <f t="shared" si="10"/>
        <v>Tue</v>
      </c>
      <c r="L48" s="29">
        <f t="shared" si="11"/>
        <v>7.9067795470435048E-2</v>
      </c>
    </row>
    <row r="49" spans="1:12" x14ac:dyDescent="0.55000000000000004">
      <c r="A49" s="7" t="s">
        <v>74</v>
      </c>
      <c r="B49" s="7" t="b">
        <f t="shared" si="13"/>
        <v>1</v>
      </c>
      <c r="C49" s="22" t="str">
        <f t="shared" si="4"/>
        <v>Log10(83)</v>
      </c>
      <c r="D49" s="23">
        <f xml:space="preserve"> LOG(83, 10)</f>
        <v>1.919078092376074</v>
      </c>
      <c r="E49" s="24">
        <f t="shared" si="5"/>
        <v>1919.078092376074</v>
      </c>
      <c r="F49" s="25">
        <f t="shared" si="6"/>
        <v>1.919078092376074</v>
      </c>
      <c r="G49" s="26">
        <f t="shared" si="7"/>
        <v>1919.078092376074</v>
      </c>
      <c r="H49" s="27">
        <f t="shared" si="8"/>
        <v>1.919078092376074</v>
      </c>
      <c r="I49" s="28">
        <f t="shared" si="14"/>
        <v>40877.544425624888</v>
      </c>
      <c r="J49" s="8">
        <f t="shared" si="14"/>
        <v>40877.544425624888</v>
      </c>
      <c r="K49" s="7" t="str">
        <f t="shared" si="10"/>
        <v>Wed</v>
      </c>
      <c r="L49" s="29">
        <f t="shared" si="11"/>
        <v>7.996158718233641E-2</v>
      </c>
    </row>
    <row r="50" spans="1:12" x14ac:dyDescent="0.55000000000000004">
      <c r="A50" s="7" t="s">
        <v>75</v>
      </c>
      <c r="B50" s="7" t="b">
        <f t="shared" si="13"/>
        <v>1</v>
      </c>
      <c r="C50" s="22" t="str">
        <f t="shared" si="4"/>
        <v>Log10(89)</v>
      </c>
      <c r="D50" s="23">
        <f xml:space="preserve"> LOG(89, 10)</f>
        <v>1.9493900066449126</v>
      </c>
      <c r="E50" s="24">
        <f t="shared" si="5"/>
        <v>1949.3900066449125</v>
      </c>
      <c r="F50" s="25">
        <f t="shared" si="6"/>
        <v>1.9493900066449126</v>
      </c>
      <c r="G50" s="26">
        <f t="shared" si="7"/>
        <v>1949.3900066449125</v>
      </c>
      <c r="H50" s="27">
        <f t="shared" si="8"/>
        <v>1.9493900066449126</v>
      </c>
      <c r="I50" s="28">
        <f t="shared" si="14"/>
        <v>40888.577962418749</v>
      </c>
      <c r="J50" s="8">
        <f t="shared" si="14"/>
        <v>40888.577962418749</v>
      </c>
      <c r="K50" s="7" t="str">
        <f t="shared" si="10"/>
        <v>Sun</v>
      </c>
      <c r="L50" s="29">
        <f t="shared" si="11"/>
        <v>8.1224583610204681E-2</v>
      </c>
    </row>
    <row r="51" spans="1:12" x14ac:dyDescent="0.55000000000000004">
      <c r="A51" s="7" t="s">
        <v>76</v>
      </c>
      <c r="B51" s="7" t="b">
        <f t="shared" si="13"/>
        <v>1</v>
      </c>
      <c r="C51" s="22" t="str">
        <f t="shared" si="4"/>
        <v>Log10(97)</v>
      </c>
      <c r="D51" s="23">
        <f xml:space="preserve"> LOG(97, 10)</f>
        <v>1.9867717342662448</v>
      </c>
      <c r="E51" s="24">
        <f t="shared" si="5"/>
        <v>1986.7717342662447</v>
      </c>
      <c r="F51" s="25">
        <f t="shared" si="6"/>
        <v>1.9867717342662448</v>
      </c>
      <c r="G51" s="26">
        <f t="shared" si="7"/>
        <v>1986.7717342662447</v>
      </c>
      <c r="H51" s="27">
        <f t="shared" si="8"/>
        <v>1.9867717342662448</v>
      </c>
      <c r="I51" s="28">
        <f t="shared" si="14"/>
        <v>40902.184911272911</v>
      </c>
      <c r="J51" s="8">
        <f t="shared" si="14"/>
        <v>40902.184911272911</v>
      </c>
      <c r="K51" s="7" t="str">
        <f t="shared" si="10"/>
        <v>Sun</v>
      </c>
      <c r="L51" s="29">
        <f t="shared" si="11"/>
        <v>8.2782155594426865E-2</v>
      </c>
    </row>
    <row r="52" spans="1:12" x14ac:dyDescent="0.55000000000000004">
      <c r="A52" s="7" t="s">
        <v>77</v>
      </c>
      <c r="C52" s="22" t="str">
        <f t="shared" si="4"/>
        <v>ln(10)</v>
      </c>
      <c r="D52" s="23">
        <f xml:space="preserve"> LN(10)</f>
        <v>2.3025850929940459</v>
      </c>
      <c r="E52" s="24">
        <f t="shared" si="5"/>
        <v>2302.5850929940457</v>
      </c>
      <c r="F52" s="25">
        <f t="shared" si="6"/>
        <v>2.3025850929940459</v>
      </c>
      <c r="G52" s="26">
        <f t="shared" si="7"/>
        <v>2302.5850929940457</v>
      </c>
      <c r="H52" s="27">
        <f t="shared" si="8"/>
        <v>2.3025850929940459</v>
      </c>
      <c r="I52" s="28">
        <f t="shared" si="14"/>
        <v>41017.140973849833</v>
      </c>
      <c r="J52" s="8">
        <f t="shared" si="14"/>
        <v>41017.140973849833</v>
      </c>
      <c r="K52" s="7" t="str">
        <f t="shared" si="10"/>
        <v>Wed</v>
      </c>
      <c r="L52" s="29">
        <f t="shared" si="11"/>
        <v>9.5941045541418579E-2</v>
      </c>
    </row>
    <row r="53" spans="1:12" x14ac:dyDescent="0.55000000000000004">
      <c r="A53" s="7" t="s">
        <v>78</v>
      </c>
      <c r="C53" s="22" t="str">
        <f t="shared" si="4"/>
        <v>TwoPi^(+0.5)</v>
      </c>
      <c r="D53" s="23">
        <f xml:space="preserve"> SQRT( 2 * PI() )</f>
        <v>2.5066282746310002</v>
      </c>
      <c r="E53" s="24">
        <f t="shared" si="5"/>
        <v>2506.6282746310003</v>
      </c>
      <c r="F53" s="25">
        <f t="shared" si="6"/>
        <v>2.5066282746310002</v>
      </c>
      <c r="G53" s="26">
        <f t="shared" si="7"/>
        <v>2506.6282746310003</v>
      </c>
      <c r="H53" s="27">
        <f t="shared" si="8"/>
        <v>2.5066282746310002</v>
      </c>
      <c r="I53" s="28">
        <f t="shared" si="14"/>
        <v>41091.412691965685</v>
      </c>
      <c r="J53" s="8">
        <f t="shared" si="14"/>
        <v>41091.412691965685</v>
      </c>
      <c r="K53" s="7" t="str">
        <f t="shared" si="10"/>
        <v>Sun</v>
      </c>
      <c r="L53" s="29">
        <f t="shared" si="11"/>
        <v>0.10444284477629168</v>
      </c>
    </row>
    <row r="54" spans="1:12" x14ac:dyDescent="0.55000000000000004">
      <c r="A54" s="7" t="s">
        <v>79</v>
      </c>
      <c r="C54" s="22" t="str">
        <f t="shared" si="4"/>
        <v>exp(+1)</v>
      </c>
      <c r="D54" s="23">
        <f xml:space="preserve"> EXP(1)</f>
        <v>2.7182818284590451</v>
      </c>
      <c r="E54" s="24">
        <f t="shared" si="5"/>
        <v>2718.2818284590453</v>
      </c>
      <c r="F54" s="25">
        <f t="shared" si="6"/>
        <v>2.7182818284590451</v>
      </c>
      <c r="G54" s="26">
        <f t="shared" si="7"/>
        <v>2718.2818284590453</v>
      </c>
      <c r="H54" s="27">
        <f t="shared" si="8"/>
        <v>2.7182818284590451</v>
      </c>
      <c r="I54" s="28">
        <f t="shared" si="14"/>
        <v>41168.454585559091</v>
      </c>
      <c r="J54" s="8">
        <f t="shared" si="14"/>
        <v>41168.454585559091</v>
      </c>
      <c r="K54" s="7" t="str">
        <f t="shared" si="10"/>
        <v>Sun</v>
      </c>
      <c r="L54" s="29">
        <f t="shared" si="11"/>
        <v>0.11326174285246021</v>
      </c>
    </row>
    <row r="55" spans="1:12" x14ac:dyDescent="0.55000000000000004">
      <c r="A55" s="7" t="s">
        <v>80</v>
      </c>
      <c r="C55" s="22" t="str">
        <f t="shared" si="4"/>
        <v>PI</v>
      </c>
      <c r="D55" s="23">
        <f xml:space="preserve"> PI()</f>
        <v>3.1415926535897931</v>
      </c>
      <c r="E55" s="24">
        <f t="shared" si="5"/>
        <v>3141.5926535897929</v>
      </c>
      <c r="F55" s="25">
        <f t="shared" si="6"/>
        <v>3.1415926535897931</v>
      </c>
      <c r="G55" s="26">
        <f t="shared" si="7"/>
        <v>3141.5926535897929</v>
      </c>
      <c r="H55" s="27">
        <f t="shared" si="8"/>
        <v>3.1415926535897931</v>
      </c>
      <c r="I55" s="28">
        <f t="shared" si="14"/>
        <v>41322.539725906681</v>
      </c>
      <c r="J55" s="8">
        <f t="shared" si="14"/>
        <v>41322.539725906681</v>
      </c>
      <c r="K55" s="7" t="str">
        <f t="shared" si="10"/>
        <v>Sun</v>
      </c>
      <c r="L55" s="29">
        <f t="shared" si="11"/>
        <v>0.1308996938995747</v>
      </c>
    </row>
    <row r="56" spans="1:12" x14ac:dyDescent="0.55000000000000004">
      <c r="A56" s="7" t="s">
        <v>81</v>
      </c>
      <c r="C56" s="22" t="str">
        <f t="shared" si="4"/>
        <v>10^(+0.5)</v>
      </c>
      <c r="D56" s="23">
        <f xml:space="preserve"> SQRT(10)</f>
        <v>3.1622776601683795</v>
      </c>
      <c r="E56" s="24">
        <f t="shared" si="5"/>
        <v>3162.2776601683795</v>
      </c>
      <c r="F56" s="25">
        <f t="shared" si="6"/>
        <v>3.1622776601683795</v>
      </c>
      <c r="G56" s="26">
        <f t="shared" si="7"/>
        <v>3162.2776601683795</v>
      </c>
      <c r="H56" s="27">
        <f t="shared" si="8"/>
        <v>3.1622776601683795</v>
      </c>
      <c r="I56" s="28">
        <f t="shared" si="14"/>
        <v>41330.069068301287</v>
      </c>
      <c r="J56" s="8">
        <f t="shared" si="14"/>
        <v>41330.069068301287</v>
      </c>
      <c r="K56" s="7" t="str">
        <f t="shared" si="10"/>
        <v>Mon</v>
      </c>
      <c r="L56" s="29">
        <f t="shared" si="11"/>
        <v>0.13176156917368248</v>
      </c>
    </row>
    <row r="57" spans="1:12" x14ac:dyDescent="0.55000000000000004">
      <c r="A57" s="7" t="s">
        <v>82</v>
      </c>
      <c r="C57" s="22" t="str">
        <f t="shared" si="4"/>
        <v>TwoPi</v>
      </c>
      <c r="D57" s="23">
        <f xml:space="preserve"> 2 * PI()</f>
        <v>6.2831853071795862</v>
      </c>
      <c r="E57" s="24">
        <f t="shared" si="5"/>
        <v>6283.1853071795858</v>
      </c>
      <c r="F57" s="25">
        <f t="shared" si="6"/>
        <v>6.2831853071795862</v>
      </c>
      <c r="G57" s="26">
        <f t="shared" si="7"/>
        <v>6283.1853071795858</v>
      </c>
      <c r="H57" s="27">
        <f t="shared" si="8"/>
        <v>6.2831853071795862</v>
      </c>
      <c r="I57" s="28">
        <f t="shared" si="14"/>
        <v>42466.07945181337</v>
      </c>
      <c r="J57" s="8">
        <f t="shared" si="14"/>
        <v>42466.07945181337</v>
      </c>
      <c r="K57" s="7" t="str">
        <f t="shared" si="10"/>
        <v>Wed</v>
      </c>
      <c r="L57" s="29">
        <f t="shared" si="11"/>
        <v>0.26179938779914941</v>
      </c>
    </row>
    <row r="58" spans="1:12" x14ac:dyDescent="0.55000000000000004">
      <c r="A58" s="7" t="s">
        <v>83</v>
      </c>
      <c r="C58" s="22" t="str">
        <f t="shared" si="4"/>
        <v>exp(+2)</v>
      </c>
      <c r="D58" s="23">
        <f xml:space="preserve"> EXP(2)</f>
        <v>7.3890560989306504</v>
      </c>
      <c r="E58" s="24">
        <f t="shared" si="5"/>
        <v>7389.0560989306505</v>
      </c>
      <c r="F58" s="25">
        <f t="shared" si="6"/>
        <v>7.3890560989306504</v>
      </c>
      <c r="G58" s="26">
        <f t="shared" si="7"/>
        <v>7389.0560989306505</v>
      </c>
      <c r="H58" s="27">
        <f t="shared" si="8"/>
        <v>7.3890560989306504</v>
      </c>
      <c r="I58" s="28">
        <f t="shared" si="14"/>
        <v>42868.61642001076</v>
      </c>
      <c r="J58" s="8">
        <f t="shared" si="14"/>
        <v>42868.61642001076</v>
      </c>
      <c r="K58" s="7" t="str">
        <f t="shared" si="10"/>
        <v>Sat</v>
      </c>
      <c r="L58" s="29">
        <f t="shared" si="11"/>
        <v>0.30787733745544377</v>
      </c>
    </row>
    <row r="59" spans="1:12" x14ac:dyDescent="0.55000000000000004">
      <c r="A59" s="7" t="s">
        <v>84</v>
      </c>
      <c r="C59" s="22" t="str">
        <f t="shared" si="4"/>
        <v>PI^(+2.0)</v>
      </c>
      <c r="D59" s="23">
        <f xml:space="preserve"> PI()^2</f>
        <v>9.869604401089358</v>
      </c>
      <c r="E59" s="24">
        <f t="shared" si="5"/>
        <v>9869.6044010893584</v>
      </c>
      <c r="F59" s="25">
        <f t="shared" si="6"/>
        <v>9.869604401089358</v>
      </c>
      <c r="G59" s="26">
        <f t="shared" si="7"/>
        <v>9869.6044010893584</v>
      </c>
      <c r="H59" s="27">
        <f t="shared" si="8"/>
        <v>9.869604401089358</v>
      </c>
      <c r="I59" s="28">
        <f t="shared" si="14"/>
        <v>43771.53600199653</v>
      </c>
      <c r="J59" s="8">
        <f t="shared" si="14"/>
        <v>43771.53600199653</v>
      </c>
      <c r="K59" s="7" t="str">
        <f t="shared" si="10"/>
        <v>Sat</v>
      </c>
      <c r="L59" s="29">
        <f t="shared" si="11"/>
        <v>0.41123351671205655</v>
      </c>
    </row>
    <row r="60" spans="1:12" x14ac:dyDescent="0.55000000000000004">
      <c r="A60" s="7" t="s">
        <v>85</v>
      </c>
      <c r="C60" s="22" t="str">
        <f t="shared" si="4"/>
        <v>exp(+3)</v>
      </c>
      <c r="D60" s="23">
        <f xml:space="preserve"> EXP(3)</f>
        <v>20.085536923187668</v>
      </c>
      <c r="E60" s="24">
        <f t="shared" si="5"/>
        <v>20085.536923187668</v>
      </c>
      <c r="F60" s="25">
        <f t="shared" si="6"/>
        <v>20.085536923187668</v>
      </c>
      <c r="G60" s="26">
        <f t="shared" si="7"/>
        <v>20085.536923187668</v>
      </c>
      <c r="H60" s="27">
        <f t="shared" si="8"/>
        <v>20.085536923187668</v>
      </c>
      <c r="I60" s="28">
        <f t="shared" si="14"/>
        <v>47490.135440040314</v>
      </c>
      <c r="J60" s="8">
        <f t="shared" si="14"/>
        <v>47490.135440040314</v>
      </c>
      <c r="K60" s="7" t="str">
        <f t="shared" si="10"/>
        <v>Mon</v>
      </c>
      <c r="L60" s="29">
        <f t="shared" si="11"/>
        <v>0.83689737179948609</v>
      </c>
    </row>
  </sheetData>
  <autoFilter ref="A5:M5" xr:uid="{00000000-0009-0000-0000-000000000000}"/>
  <pageMargins left="0.7" right="0.7" top="0.75" bottom="0.75" header="0.3" footer="0.3"/>
  <pageSetup scale="82" orientation="landscape" horizontalDpi="4294967294" r:id="rId1"/>
  <headerFooter>
    <oddHeader>&amp;C&amp;A
&amp;F</oddHeader>
    <oddFooter>&amp;Lprinted on &amp;D&amp;RPage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toc</vt:lpstr>
      <vt:lpstr>e_books</vt:lpstr>
      <vt:lpstr>data</vt:lpstr>
      <vt:lpstr>NRES_src_dnld</vt:lpstr>
      <vt:lpstr>templates</vt:lpstr>
      <vt:lpstr>data!Print_Titles</vt:lpstr>
      <vt:lpstr>e_books!Print_Titles</vt:lpstr>
      <vt:lpstr>NRES_src_dnld!Print_Titles</vt:lpstr>
      <vt:lpstr>templates!Print_Titles</vt:lpstr>
      <vt:lpstr>toc!Print_Titles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Thrall</dc:creator>
  <cp:lastModifiedBy>Tony Thrall</cp:lastModifiedBy>
  <dcterms:created xsi:type="dcterms:W3CDTF">2015-06-05T18:17:20Z</dcterms:created>
  <dcterms:modified xsi:type="dcterms:W3CDTF">2025-04-05T17:46:18Z</dcterms:modified>
</cp:coreProperties>
</file>