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9ccbbb0bd9c947/Documents/post_2020-10/professional/R_projects/eda_4350/data/xl/"/>
    </mc:Choice>
  </mc:AlternateContent>
  <xr:revisionPtr revIDLastSave="710" documentId="8_{7947784C-B819-4BBF-BE64-CD9D874307E1}" xr6:coauthVersionLast="47" xr6:coauthVersionMax="47" xr10:uidLastSave="{366974B6-4521-4AD3-A8D8-D2D4600332A6}"/>
  <bookViews>
    <workbookView xWindow="1212" yWindow="1698" windowWidth="18864" windowHeight="11136" activeTab="1" xr2:uid="{219EA36F-2EE3-4D9A-91A8-686407A36A9E}"/>
  </bookViews>
  <sheets>
    <sheet name="layout" sheetId="1" r:id="rId1"/>
    <sheet name="tabs" sheetId="2" r:id="rId2"/>
    <sheet name="s_1a_topics" sheetId="3" r:id="rId3"/>
    <sheet name="eda_v3" sheetId="4" r:id="rId4"/>
    <sheet name="jan_13_17" sheetId="5" r:id="rId5"/>
  </sheets>
  <externalReferences>
    <externalReference r:id="rId6"/>
    <externalReference r:id="rId7"/>
  </externalReferences>
  <definedNames>
    <definedName name="_xlnm._FilterDatabase" localSheetId="3" hidden="1">eda_v3!$B$5:$D$5</definedName>
    <definedName name="_xlnm._FilterDatabase" localSheetId="4" hidden="1">jan_13_17!$B$5:$I$5</definedName>
    <definedName name="_xlnm._FilterDatabase" localSheetId="0" hidden="1">layout!$A$5:$M$5</definedName>
    <definedName name="_xlnm._FilterDatabase" localSheetId="2" hidden="1">s_1a_topics!$A$5:$A$5</definedName>
    <definedName name="_xlnm._FilterDatabase" localSheetId="1" hidden="1">tabs!$A$5:$A$5</definedName>
    <definedName name="all_Buyers">[1]pct_per_factor!$D$1:$D$65536</definedName>
    <definedName name="corr">[2]statistics!$A$2</definedName>
    <definedName name="noOct">[1]pct_per_factor!$A$6:$IV$6</definedName>
    <definedName name="_xlnm.Print_Titles" localSheetId="3">eda_v3!$A:$A,eda_v3!$1:$1</definedName>
    <definedName name="_xlnm.Print_Titles" localSheetId="4">jan_13_17!$A:$A,jan_13_17!$1:$1</definedName>
    <definedName name="_xlnm.Print_Titles" localSheetId="0">layout!$A:$A,layout!$1:$1</definedName>
    <definedName name="_xlnm.Print_Titles" localSheetId="2">s_1a_topics!$A:$A,s_1a_topics!$1:$1</definedName>
    <definedName name="_xlnm.Print_Titles" localSheetId="1">tabs!$A:$A,tabs!$1:$1</definedName>
    <definedName name="yesOct">[1]pct_per_factor!$A$7:$IV$7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5" i="4"/>
  <c r="B5" i="2"/>
  <c r="D60" i="1"/>
  <c r="L60" i="1" s="1"/>
  <c r="C60" i="1"/>
  <c r="J59" i="1"/>
  <c r="D59" i="1"/>
  <c r="I59" i="1" s="1"/>
  <c r="K59" i="1" s="1"/>
  <c r="C59" i="1"/>
  <c r="I58" i="1"/>
  <c r="K58" i="1" s="1"/>
  <c r="H58" i="1"/>
  <c r="E58" i="1"/>
  <c r="D58" i="1"/>
  <c r="G58" i="1" s="1"/>
  <c r="C58" i="1"/>
  <c r="L57" i="1"/>
  <c r="J57" i="1"/>
  <c r="I57" i="1"/>
  <c r="K57" i="1" s="1"/>
  <c r="G57" i="1"/>
  <c r="F57" i="1"/>
  <c r="D57" i="1"/>
  <c r="E57" i="1" s="1"/>
  <c r="C57" i="1"/>
  <c r="E56" i="1"/>
  <c r="D56" i="1"/>
  <c r="L56" i="1" s="1"/>
  <c r="C56" i="1"/>
  <c r="L55" i="1"/>
  <c r="J55" i="1"/>
  <c r="H55" i="1"/>
  <c r="G55" i="1"/>
  <c r="F55" i="1"/>
  <c r="E55" i="1"/>
  <c r="D55" i="1"/>
  <c r="I55" i="1" s="1"/>
  <c r="K55" i="1" s="1"/>
  <c r="C55" i="1"/>
  <c r="L54" i="1"/>
  <c r="J54" i="1"/>
  <c r="D54" i="1"/>
  <c r="I54" i="1" s="1"/>
  <c r="K54" i="1" s="1"/>
  <c r="C54" i="1"/>
  <c r="J53" i="1"/>
  <c r="H53" i="1"/>
  <c r="D53" i="1"/>
  <c r="I53" i="1" s="1"/>
  <c r="K53" i="1" s="1"/>
  <c r="C53" i="1"/>
  <c r="L52" i="1"/>
  <c r="I52" i="1"/>
  <c r="K52" i="1" s="1"/>
  <c r="H52" i="1"/>
  <c r="F52" i="1"/>
  <c r="D52" i="1"/>
  <c r="G52" i="1" s="1"/>
  <c r="C52" i="1"/>
  <c r="G51" i="1"/>
  <c r="D51" i="1"/>
  <c r="F51" i="1" s="1"/>
  <c r="C51" i="1"/>
  <c r="B51" i="1"/>
  <c r="F50" i="1"/>
  <c r="D50" i="1"/>
  <c r="E50" i="1" s="1"/>
  <c r="C50" i="1"/>
  <c r="B50" i="1"/>
  <c r="E49" i="1"/>
  <c r="D49" i="1"/>
  <c r="L49" i="1" s="1"/>
  <c r="C49" i="1"/>
  <c r="B49" i="1"/>
  <c r="D48" i="1"/>
  <c r="L48" i="1" s="1"/>
  <c r="C48" i="1"/>
  <c r="B48" i="1"/>
  <c r="L47" i="1"/>
  <c r="F47" i="1"/>
  <c r="E47" i="1"/>
  <c r="D47" i="1"/>
  <c r="J47" i="1" s="1"/>
  <c r="C47" i="1"/>
  <c r="B47" i="1"/>
  <c r="L46" i="1"/>
  <c r="D46" i="1"/>
  <c r="J46" i="1" s="1"/>
  <c r="C46" i="1"/>
  <c r="B46" i="1"/>
  <c r="L45" i="1"/>
  <c r="J45" i="1"/>
  <c r="D45" i="1"/>
  <c r="I45" i="1" s="1"/>
  <c r="K45" i="1" s="1"/>
  <c r="C45" i="1"/>
  <c r="B45" i="1"/>
  <c r="D44" i="1"/>
  <c r="J44" i="1" s="1"/>
  <c r="C44" i="1"/>
  <c r="B44" i="1"/>
  <c r="L43" i="1"/>
  <c r="J43" i="1"/>
  <c r="I43" i="1"/>
  <c r="K43" i="1" s="1"/>
  <c r="H43" i="1"/>
  <c r="D43" i="1"/>
  <c r="G43" i="1" s="1"/>
  <c r="C43" i="1"/>
  <c r="L42" i="1"/>
  <c r="J42" i="1"/>
  <c r="I42" i="1"/>
  <c r="K42" i="1" s="1"/>
  <c r="H42" i="1"/>
  <c r="G42" i="1"/>
  <c r="F42" i="1"/>
  <c r="D42" i="1"/>
  <c r="E42" i="1" s="1"/>
  <c r="C42" i="1"/>
  <c r="B42" i="1"/>
  <c r="L41" i="1"/>
  <c r="J41" i="1"/>
  <c r="I41" i="1"/>
  <c r="K41" i="1" s="1"/>
  <c r="H41" i="1"/>
  <c r="G41" i="1"/>
  <c r="F41" i="1"/>
  <c r="E41" i="1"/>
  <c r="D41" i="1"/>
  <c r="C41" i="1"/>
  <c r="J40" i="1"/>
  <c r="D40" i="1"/>
  <c r="E40" i="1" s="1"/>
  <c r="C40" i="1"/>
  <c r="B40" i="1"/>
  <c r="I39" i="1"/>
  <c r="K39" i="1" s="1"/>
  <c r="E39" i="1"/>
  <c r="D39" i="1"/>
  <c r="L39" i="1" s="1"/>
  <c r="C39" i="1"/>
  <c r="B39" i="1"/>
  <c r="H38" i="1"/>
  <c r="D38" i="1"/>
  <c r="L38" i="1" s="1"/>
  <c r="C38" i="1"/>
  <c r="L37" i="1"/>
  <c r="F37" i="1"/>
  <c r="D37" i="1"/>
  <c r="J37" i="1" s="1"/>
  <c r="C37" i="1"/>
  <c r="B37" i="1"/>
  <c r="L36" i="1"/>
  <c r="J36" i="1"/>
  <c r="E36" i="1"/>
  <c r="D36" i="1"/>
  <c r="I36" i="1" s="1"/>
  <c r="K36" i="1" s="1"/>
  <c r="C36" i="1"/>
  <c r="L35" i="1"/>
  <c r="J35" i="1"/>
  <c r="I35" i="1"/>
  <c r="K35" i="1" s="1"/>
  <c r="H35" i="1"/>
  <c r="D35" i="1"/>
  <c r="G35" i="1" s="1"/>
  <c r="C35" i="1"/>
  <c r="B35" i="1"/>
  <c r="D34" i="1"/>
  <c r="I34" i="1" s="1"/>
  <c r="K34" i="1" s="1"/>
  <c r="C34" i="1"/>
  <c r="B34" i="1"/>
  <c r="L33" i="1"/>
  <c r="J33" i="1"/>
  <c r="I33" i="1"/>
  <c r="K33" i="1" s="1"/>
  <c r="H33" i="1"/>
  <c r="G33" i="1"/>
  <c r="F33" i="1"/>
  <c r="D33" i="1"/>
  <c r="E33" i="1" s="1"/>
  <c r="C33" i="1"/>
  <c r="B33" i="1"/>
  <c r="L32" i="1"/>
  <c r="J32" i="1"/>
  <c r="I32" i="1"/>
  <c r="K32" i="1" s="1"/>
  <c r="H32" i="1"/>
  <c r="G32" i="1"/>
  <c r="F32" i="1"/>
  <c r="E32" i="1"/>
  <c r="D32" i="1"/>
  <c r="C32" i="1"/>
  <c r="B32" i="1"/>
  <c r="G31" i="1"/>
  <c r="F31" i="1"/>
  <c r="E31" i="1"/>
  <c r="D31" i="1"/>
  <c r="L31" i="1" s="1"/>
  <c r="C31" i="1"/>
  <c r="I30" i="1"/>
  <c r="K30" i="1" s="1"/>
  <c r="D30" i="1"/>
  <c r="L30" i="1" s="1"/>
  <c r="C30" i="1"/>
  <c r="B30" i="1"/>
  <c r="J29" i="1"/>
  <c r="H29" i="1"/>
  <c r="D29" i="1"/>
  <c r="L29" i="1" s="1"/>
  <c r="C29" i="1"/>
  <c r="B29" i="1"/>
  <c r="L28" i="1"/>
  <c r="I28" i="1"/>
  <c r="K28" i="1" s="1"/>
  <c r="G28" i="1"/>
  <c r="D28" i="1"/>
  <c r="J28" i="1" s="1"/>
  <c r="C28" i="1"/>
  <c r="B28" i="1"/>
  <c r="L27" i="1"/>
  <c r="H27" i="1"/>
  <c r="F27" i="1"/>
  <c r="D27" i="1"/>
  <c r="J27" i="1" s="1"/>
  <c r="C27" i="1"/>
  <c r="B27" i="1"/>
  <c r="L26" i="1"/>
  <c r="J26" i="1"/>
  <c r="G26" i="1"/>
  <c r="E26" i="1"/>
  <c r="D26" i="1"/>
  <c r="I26" i="1" s="1"/>
  <c r="K26" i="1" s="1"/>
  <c r="C26" i="1"/>
  <c r="B26" i="1"/>
  <c r="D25" i="1"/>
  <c r="J25" i="1" s="1"/>
  <c r="C25" i="1"/>
  <c r="D24" i="1"/>
  <c r="I24" i="1" s="1"/>
  <c r="K24" i="1" s="1"/>
  <c r="C24" i="1"/>
  <c r="B24" i="1"/>
  <c r="L23" i="1"/>
  <c r="J23" i="1"/>
  <c r="I23" i="1"/>
  <c r="K23" i="1" s="1"/>
  <c r="H23" i="1"/>
  <c r="G23" i="1"/>
  <c r="F23" i="1"/>
  <c r="D23" i="1"/>
  <c r="E23" i="1" s="1"/>
  <c r="C23" i="1"/>
  <c r="G22" i="1"/>
  <c r="F22" i="1"/>
  <c r="E22" i="1"/>
  <c r="D22" i="1"/>
  <c r="L22" i="1" s="1"/>
  <c r="C22" i="1"/>
  <c r="I21" i="1"/>
  <c r="K21" i="1" s="1"/>
  <c r="D21" i="1"/>
  <c r="L21" i="1" s="1"/>
  <c r="C21" i="1"/>
  <c r="L20" i="1"/>
  <c r="I20" i="1"/>
  <c r="K20" i="1" s="1"/>
  <c r="G20" i="1"/>
  <c r="D20" i="1"/>
  <c r="J20" i="1" s="1"/>
  <c r="C20" i="1"/>
  <c r="B20" i="1"/>
  <c r="L19" i="1"/>
  <c r="H19" i="1"/>
  <c r="F19" i="1"/>
  <c r="D19" i="1"/>
  <c r="J19" i="1" s="1"/>
  <c r="C19" i="1"/>
  <c r="L18" i="1"/>
  <c r="K18" i="1"/>
  <c r="J18" i="1"/>
  <c r="I18" i="1"/>
  <c r="H18" i="1"/>
  <c r="G18" i="1"/>
  <c r="F18" i="1"/>
  <c r="E18" i="1"/>
  <c r="C18" i="1"/>
  <c r="C5" i="1" s="1"/>
  <c r="L17" i="1"/>
  <c r="J17" i="1"/>
  <c r="I17" i="1"/>
  <c r="K17" i="1" s="1"/>
  <c r="H17" i="1"/>
  <c r="G17" i="1"/>
  <c r="F17" i="1"/>
  <c r="D17" i="1"/>
  <c r="E17" i="1" s="1"/>
  <c r="C17" i="1"/>
  <c r="G16" i="1"/>
  <c r="F16" i="1"/>
  <c r="E16" i="1"/>
  <c r="D16" i="1"/>
  <c r="L16" i="1" s="1"/>
  <c r="C16" i="1"/>
  <c r="B16" i="1"/>
  <c r="L15" i="1"/>
  <c r="J15" i="1"/>
  <c r="E15" i="1"/>
  <c r="D15" i="1"/>
  <c r="I15" i="1" s="1"/>
  <c r="K15" i="1" s="1"/>
  <c r="C15" i="1"/>
  <c r="J14" i="1"/>
  <c r="H14" i="1"/>
  <c r="D14" i="1"/>
  <c r="L14" i="1" s="1"/>
  <c r="C14" i="1"/>
  <c r="L13" i="1"/>
  <c r="H13" i="1"/>
  <c r="F13" i="1"/>
  <c r="E13" i="1"/>
  <c r="D13" i="1"/>
  <c r="J13" i="1" s="1"/>
  <c r="C13" i="1"/>
  <c r="D12" i="1"/>
  <c r="J12" i="1" s="1"/>
  <c r="C12" i="1"/>
  <c r="D11" i="1"/>
  <c r="I11" i="1" s="1"/>
  <c r="K11" i="1" s="1"/>
  <c r="C11" i="1"/>
  <c r="B11" i="1"/>
  <c r="L10" i="1"/>
  <c r="J10" i="1"/>
  <c r="I10" i="1"/>
  <c r="K10" i="1" s="1"/>
  <c r="H10" i="1"/>
  <c r="G10" i="1"/>
  <c r="F10" i="1"/>
  <c r="D10" i="1"/>
  <c r="E10" i="1" s="1"/>
  <c r="C10" i="1"/>
  <c r="H9" i="1"/>
  <c r="G9" i="1"/>
  <c r="F9" i="1"/>
  <c r="E9" i="1"/>
  <c r="D9" i="1"/>
  <c r="L9" i="1" s="1"/>
  <c r="C9" i="1"/>
  <c r="I8" i="1"/>
  <c r="K8" i="1" s="1"/>
  <c r="D8" i="1"/>
  <c r="L8" i="1" s="1"/>
  <c r="C8" i="1"/>
  <c r="I7" i="1"/>
  <c r="K7" i="1" s="1"/>
  <c r="G7" i="1"/>
  <c r="D7" i="1"/>
  <c r="L7" i="1" s="1"/>
  <c r="C7" i="1"/>
  <c r="L6" i="1"/>
  <c r="J6" i="1"/>
  <c r="G6" i="1"/>
  <c r="E6" i="1"/>
  <c r="D6" i="1"/>
  <c r="I6" i="1" s="1"/>
  <c r="C6" i="1"/>
  <c r="M5" i="1"/>
  <c r="D5" i="1"/>
  <c r="B5" i="1"/>
  <c r="D4" i="1"/>
  <c r="D3" i="1"/>
  <c r="D2" i="1"/>
  <c r="K6" i="1" l="1"/>
  <c r="E8" i="1"/>
  <c r="J11" i="1"/>
  <c r="L12" i="1"/>
  <c r="F15" i="1"/>
  <c r="E21" i="1"/>
  <c r="J24" i="1"/>
  <c r="L25" i="1"/>
  <c r="E30" i="1"/>
  <c r="J34" i="1"/>
  <c r="F40" i="1"/>
  <c r="L44" i="1"/>
  <c r="F8" i="1"/>
  <c r="E14" i="1"/>
  <c r="G15" i="1"/>
  <c r="H16" i="1"/>
  <c r="F21" i="1"/>
  <c r="H22" i="1"/>
  <c r="E29" i="1"/>
  <c r="F30" i="1"/>
  <c r="H31" i="1"/>
  <c r="E38" i="1"/>
  <c r="F39" i="1"/>
  <c r="G40" i="1"/>
  <c r="E48" i="1"/>
  <c r="F49" i="1"/>
  <c r="G50" i="1"/>
  <c r="H51" i="1"/>
  <c r="J52" i="1"/>
  <c r="L53" i="1"/>
  <c r="F56" i="1"/>
  <c r="H57" i="1"/>
  <c r="J58" i="1"/>
  <c r="L59" i="1"/>
  <c r="E7" i="1"/>
  <c r="G8" i="1"/>
  <c r="I9" i="1"/>
  <c r="K9" i="1" s="1"/>
  <c r="L11" i="1"/>
  <c r="L4" i="1" s="1"/>
  <c r="F14" i="1"/>
  <c r="H15" i="1"/>
  <c r="I16" i="1"/>
  <c r="K16" i="1" s="1"/>
  <c r="E20" i="1"/>
  <c r="G21" i="1"/>
  <c r="I22" i="1"/>
  <c r="K22" i="1" s="1"/>
  <c r="L24" i="1"/>
  <c r="E28" i="1"/>
  <c r="F29" i="1"/>
  <c r="G30" i="1"/>
  <c r="I31" i="1"/>
  <c r="K31" i="1" s="1"/>
  <c r="L34" i="1"/>
  <c r="F38" i="1"/>
  <c r="G39" i="1"/>
  <c r="H40" i="1"/>
  <c r="F48" i="1"/>
  <c r="G49" i="1"/>
  <c r="H50" i="1"/>
  <c r="I51" i="1"/>
  <c r="K51" i="1" s="1"/>
  <c r="G56" i="1"/>
  <c r="F7" i="1"/>
  <c r="H8" i="1"/>
  <c r="J9" i="1"/>
  <c r="G14" i="1"/>
  <c r="J16" i="1"/>
  <c r="E19" i="1"/>
  <c r="F20" i="1"/>
  <c r="H21" i="1"/>
  <c r="J22" i="1"/>
  <c r="E27" i="1"/>
  <c r="F28" i="1"/>
  <c r="G29" i="1"/>
  <c r="H30" i="1"/>
  <c r="J31" i="1"/>
  <c r="E37" i="1"/>
  <c r="G38" i="1"/>
  <c r="H39" i="1"/>
  <c r="I40" i="1"/>
  <c r="K40" i="1" s="1"/>
  <c r="E46" i="1"/>
  <c r="G48" i="1"/>
  <c r="H49" i="1"/>
  <c r="I50" i="1"/>
  <c r="K50" i="1" s="1"/>
  <c r="J51" i="1"/>
  <c r="H56" i="1"/>
  <c r="L58" i="1"/>
  <c r="E45" i="1"/>
  <c r="F46" i="1"/>
  <c r="G47" i="1"/>
  <c r="H48" i="1"/>
  <c r="I49" i="1"/>
  <c r="K49" i="1" s="1"/>
  <c r="J50" i="1"/>
  <c r="E54" i="1"/>
  <c r="I56" i="1"/>
  <c r="K56" i="1" s="1"/>
  <c r="E60" i="1"/>
  <c r="F6" i="1"/>
  <c r="H7" i="1"/>
  <c r="J8" i="1"/>
  <c r="E12" i="1"/>
  <c r="G13" i="1"/>
  <c r="I14" i="1"/>
  <c r="K14" i="1" s="1"/>
  <c r="G19" i="1"/>
  <c r="H20" i="1"/>
  <c r="J21" i="1"/>
  <c r="E25" i="1"/>
  <c r="F26" i="1"/>
  <c r="G27" i="1"/>
  <c r="H28" i="1"/>
  <c r="I29" i="1"/>
  <c r="K29" i="1" s="1"/>
  <c r="J30" i="1"/>
  <c r="F36" i="1"/>
  <c r="G37" i="1"/>
  <c r="I38" i="1"/>
  <c r="K38" i="1" s="1"/>
  <c r="J39" i="1"/>
  <c r="E44" i="1"/>
  <c r="F45" i="1"/>
  <c r="G46" i="1"/>
  <c r="H47" i="1"/>
  <c r="I48" i="1"/>
  <c r="K48" i="1" s="1"/>
  <c r="J49" i="1"/>
  <c r="L51" i="1"/>
  <c r="F54" i="1"/>
  <c r="J56" i="1"/>
  <c r="F60" i="1"/>
  <c r="F12" i="1"/>
  <c r="F25" i="1"/>
  <c r="E35" i="1"/>
  <c r="G36" i="1"/>
  <c r="H37" i="1"/>
  <c r="J38" i="1"/>
  <c r="L40" i="1"/>
  <c r="E43" i="1"/>
  <c r="F44" i="1"/>
  <c r="G45" i="1"/>
  <c r="H46" i="1"/>
  <c r="I47" i="1"/>
  <c r="K47" i="1" s="1"/>
  <c r="J48" i="1"/>
  <c r="L50" i="1"/>
  <c r="E53" i="1"/>
  <c r="G54" i="1"/>
  <c r="E59" i="1"/>
  <c r="G60" i="1"/>
  <c r="H6" i="1"/>
  <c r="J7" i="1"/>
  <c r="E11" i="1"/>
  <c r="G12" i="1"/>
  <c r="I13" i="1"/>
  <c r="K13" i="1" s="1"/>
  <c r="I19" i="1"/>
  <c r="K19" i="1" s="1"/>
  <c r="E24" i="1"/>
  <c r="G25" i="1"/>
  <c r="H26" i="1"/>
  <c r="I27" i="1"/>
  <c r="K27" i="1" s="1"/>
  <c r="E34" i="1"/>
  <c r="F35" i="1"/>
  <c r="H36" i="1"/>
  <c r="I37" i="1"/>
  <c r="K37" i="1" s="1"/>
  <c r="F43" i="1"/>
  <c r="G44" i="1"/>
  <c r="H45" i="1"/>
  <c r="I46" i="1"/>
  <c r="K46" i="1" s="1"/>
  <c r="F53" i="1"/>
  <c r="H54" i="1"/>
  <c r="F59" i="1"/>
  <c r="H60" i="1"/>
  <c r="F11" i="1"/>
  <c r="H12" i="1"/>
  <c r="F24" i="1"/>
  <c r="H25" i="1"/>
  <c r="F34" i="1"/>
  <c r="H44" i="1"/>
  <c r="E52" i="1"/>
  <c r="G53" i="1"/>
  <c r="G59" i="1"/>
  <c r="I60" i="1"/>
  <c r="K60" i="1" s="1"/>
  <c r="G11" i="1"/>
  <c r="I12" i="1"/>
  <c r="K12" i="1" s="1"/>
  <c r="G24" i="1"/>
  <c r="I25" i="1"/>
  <c r="K25" i="1" s="1"/>
  <c r="G34" i="1"/>
  <c r="I44" i="1"/>
  <c r="K44" i="1" s="1"/>
  <c r="F58" i="1"/>
  <c r="H59" i="1"/>
  <c r="J60" i="1"/>
  <c r="H11" i="1"/>
  <c r="H24" i="1"/>
  <c r="H34" i="1"/>
  <c r="E51" i="1"/>
  <c r="E3" i="1" l="1"/>
  <c r="E2" i="1"/>
  <c r="E4" i="1"/>
  <c r="L3" i="1"/>
  <c r="L2" i="1"/>
  <c r="F4" i="1"/>
  <c r="F5" i="1"/>
  <c r="F2" i="1"/>
  <c r="F3" i="1"/>
  <c r="I3" i="1"/>
  <c r="I2" i="1"/>
  <c r="J5" i="1"/>
  <c r="J2" i="1"/>
  <c r="J3" i="1"/>
  <c r="J4" i="1"/>
  <c r="I5" i="1"/>
  <c r="L5" i="1"/>
  <c r="K5" i="1"/>
  <c r="I4" i="1"/>
  <c r="H4" i="1"/>
  <c r="H3" i="1"/>
  <c r="H5" i="1"/>
  <c r="H2" i="1"/>
  <c r="E5" i="1"/>
  <c r="G4" i="1"/>
  <c r="G2" i="1"/>
  <c r="G3" i="1"/>
  <c r="G5" i="1"/>
</calcChain>
</file>

<file path=xl/sharedStrings.xml><?xml version="1.0" encoding="utf-8"?>
<sst xmlns="http://schemas.openxmlformats.org/spreadsheetml/2006/main" count="669" uniqueCount="283">
  <si>
    <t>tag</t>
  </si>
  <si>
    <t>is_L10_p</t>
  </si>
  <si>
    <t>text_1</t>
  </si>
  <si>
    <t>real_3</t>
  </si>
  <si>
    <t>int_1</t>
  </si>
  <si>
    <t>pct_0</t>
  </si>
  <si>
    <t>acct_0</t>
  </si>
  <si>
    <t>sci_1</t>
  </si>
  <si>
    <t>date_1</t>
  </si>
  <si>
    <t>date_2</t>
  </si>
  <si>
    <t>day-of-wk_1</t>
  </si>
  <si>
    <t>time_1</t>
  </si>
  <si>
    <t>series</t>
  </si>
  <si>
    <t>max</t>
  </si>
  <si>
    <t>median</t>
  </si>
  <si>
    <t>min</t>
  </si>
  <si>
    <t>count or sum</t>
  </si>
  <si>
    <t>zero</t>
  </si>
  <si>
    <t>exp(-3)</t>
  </si>
  <si>
    <t>eleventh</t>
  </si>
  <si>
    <t>exp(-2)</t>
  </si>
  <si>
    <t>TwoPi^(-1.0)</t>
  </si>
  <si>
    <t>Log10(2)</t>
  </si>
  <si>
    <t>PI^(-1.0)</t>
  </si>
  <si>
    <t>exp(-1)</t>
  </si>
  <si>
    <t>TwoPi^(-0.5)</t>
  </si>
  <si>
    <t>Log10(e)</t>
  </si>
  <si>
    <t>Log10(3)</t>
  </si>
  <si>
    <t>PI^(-0.5)</t>
  </si>
  <si>
    <t>gamma</t>
  </si>
  <si>
    <t>ln(2)</t>
  </si>
  <si>
    <t>((-1)^(k-1))/k</t>
  </si>
  <si>
    <t>Log10(5)</t>
  </si>
  <si>
    <t>sin45</t>
  </si>
  <si>
    <t>PI/4</t>
  </si>
  <si>
    <t>((-1)^(k-1))/(2*k - 1)</t>
  </si>
  <si>
    <t>PI^(+2.0)/12</t>
  </si>
  <si>
    <t>((-1)^(k-1))/(k^2)</t>
  </si>
  <si>
    <t>Log10(7)</t>
  </si>
  <si>
    <t>atan_3_4</t>
  </si>
  <si>
    <t>Log10(11)</t>
  </si>
  <si>
    <t>Log10(13)</t>
  </si>
  <si>
    <t>Log10(17)</t>
  </si>
  <si>
    <t>Log10(19)</t>
  </si>
  <si>
    <t>Log10(23)</t>
  </si>
  <si>
    <t>2^(+0.5)</t>
  </si>
  <si>
    <t>Log10(29)</t>
  </si>
  <si>
    <t>Log10(31)</t>
  </si>
  <si>
    <t>Log10(37)</t>
  </si>
  <si>
    <t>Log10(41)</t>
  </si>
  <si>
    <t>phi</t>
  </si>
  <si>
    <t>golden ratio</t>
  </si>
  <si>
    <t>Log10(43)</t>
  </si>
  <si>
    <t>PI^(+2.0)/6</t>
  </si>
  <si>
    <t>k^(-2)</t>
  </si>
  <si>
    <t>Log10(47)</t>
  </si>
  <si>
    <t>Log10(53)</t>
  </si>
  <si>
    <t>3^(+0.5)</t>
  </si>
  <si>
    <t>Log10(59)</t>
  </si>
  <si>
    <t>PI^(+0.5)</t>
  </si>
  <si>
    <t>Log10(61)</t>
  </si>
  <si>
    <t>Log10(67)</t>
  </si>
  <si>
    <t>Log10(71)</t>
  </si>
  <si>
    <t>Log10(73)</t>
  </si>
  <si>
    <t>Log10(79)</t>
  </si>
  <si>
    <t>Log10(83)</t>
  </si>
  <si>
    <t>Log10(89)</t>
  </si>
  <si>
    <t>Log10(97)</t>
  </si>
  <si>
    <t>ln(10)</t>
  </si>
  <si>
    <t>TwoPi^(+0.5)</t>
  </si>
  <si>
    <t>exp(+1)</t>
  </si>
  <si>
    <t>PI</t>
  </si>
  <si>
    <t>10^(+0.5)</t>
  </si>
  <si>
    <t>TwoPi</t>
  </si>
  <si>
    <t>exp(+2)</t>
  </si>
  <si>
    <t>PI^(+2.0)</t>
  </si>
  <si>
    <t>exp(+3)</t>
  </si>
  <si>
    <t>tab</t>
  </si>
  <si>
    <t>description</t>
  </si>
  <si>
    <t>updated</t>
  </si>
  <si>
    <t>src_file</t>
  </si>
  <si>
    <t>src_url</t>
  </si>
  <si>
    <t>src_date</t>
  </si>
  <si>
    <t>topic</t>
  </si>
  <si>
    <t>self-intro</t>
  </si>
  <si>
    <t>participants form small groups who introduce one another to the class</t>
  </si>
  <si>
    <t>history</t>
  </si>
  <si>
    <t>instructor describes history and motivation of exploratory data analysis</t>
  </si>
  <si>
    <t>Galton</t>
  </si>
  <si>
    <t>kick off discussion of descriptive statistics via heights of fathers and sons</t>
  </si>
  <si>
    <t>outline of EDA_v3</t>
  </si>
  <si>
    <t>ExploratoryDataAnalysis_v3</t>
  </si>
  <si>
    <t>Karen T</t>
  </si>
  <si>
    <t>ketrage</t>
  </si>
  <si>
    <t>idx_1</t>
  </si>
  <si>
    <t>idx_2</t>
  </si>
  <si>
    <t>idx_3</t>
  </si>
  <si>
    <t>title</t>
  </si>
  <si>
    <t>Exploratory Data Analysis (EDA)</t>
  </si>
  <si>
    <t>Unsupervised Learning</t>
  </si>
  <si>
    <t>Introduction</t>
  </si>
  <si>
    <t>Some Linear Algebra</t>
  </si>
  <si>
    <t>Dimension Reduction</t>
  </si>
  <si>
    <t>Topic Modeling</t>
  </si>
  <si>
    <t>Sampling</t>
  </si>
  <si>
    <t>Time Series</t>
  </si>
  <si>
    <t>Why Explore the Data?</t>
  </si>
  <si>
    <t>Data Visualization</t>
  </si>
  <si>
    <t>Centrality, Dispersion</t>
  </si>
  <si>
    <t>Simpson's Paradox</t>
  </si>
  <si>
    <t>Transforming Data</t>
  </si>
  <si>
    <t>A Final Look</t>
  </si>
  <si>
    <t>Density Estimators</t>
  </si>
  <si>
    <t>Cluster Analysis</t>
  </si>
  <si>
    <t>Distance Functions</t>
  </si>
  <si>
    <t>Some Clustering Techniques</t>
  </si>
  <si>
    <t>Text Clustering</t>
  </si>
  <si>
    <t>Association Rule Mining</t>
  </si>
  <si>
    <t>Linear Algebra  Basics</t>
  </si>
  <si>
    <t>Useful Matrices</t>
  </si>
  <si>
    <t>Eigenvalues and Eigenvectors</t>
  </si>
  <si>
    <t>Transformation and Projection</t>
  </si>
  <si>
    <t>Projection and Change of Basis</t>
  </si>
  <si>
    <t>Curse of Dimensionality</t>
  </si>
  <si>
    <t>Dimension Reduction Techniques</t>
  </si>
  <si>
    <t>i_pg</t>
  </si>
  <si>
    <t>Latent Semantic Indexing (LSI)</t>
  </si>
  <si>
    <t>Probabilistic Latent Semantic Analysis (PLSA)</t>
  </si>
  <si>
    <t>Latent Dirichlet Allocation (LDA)</t>
  </si>
  <si>
    <t>Sampling from a Population</t>
  </si>
  <si>
    <t>Sampling from Distributions</t>
  </si>
  <si>
    <t>Monte Carlo Methods</t>
  </si>
  <si>
    <t>Simple Descriptive Techniques</t>
  </si>
  <si>
    <t>Time Series Models</t>
  </si>
  <si>
    <t>Forecasting</t>
  </si>
  <si>
    <t>Order Statistics</t>
  </si>
  <si>
    <t>Central Tendency</t>
  </si>
  <si>
    <t>Dispersion or Spread</t>
  </si>
  <si>
    <t>Shape</t>
  </si>
  <si>
    <t>Measures of Uncertainty</t>
  </si>
  <si>
    <t>Joint Variability</t>
  </si>
  <si>
    <t>Histograms</t>
  </si>
  <si>
    <t>Kernel Density Estimates (KDE)</t>
  </si>
  <si>
    <t>Point Scatter</t>
  </si>
  <si>
    <t>A Few Common Pairwise Distance Functions</t>
  </si>
  <si>
    <t>Hierarchical Clustering</t>
  </si>
  <si>
    <t>Prototype Methods</t>
  </si>
  <si>
    <t>Other Clustering Techniques</t>
  </si>
  <si>
    <t>Fuzzy Clustering</t>
  </si>
  <si>
    <t>Density Based Approaches</t>
  </si>
  <si>
    <t>Centering</t>
  </si>
  <si>
    <t>Covariance Matrix</t>
  </si>
  <si>
    <t>Singular Value Decomposition (SVD)</t>
  </si>
  <si>
    <t>Principal Component Analysis (PCA)</t>
  </si>
  <si>
    <t>Multidimensional Scaling (MDS)</t>
  </si>
  <si>
    <t>Stress-Minimizing MDS</t>
  </si>
  <si>
    <t>Non-Negative Matrix Factorization (NNMF)</t>
  </si>
  <si>
    <t>SNE and t-SNE</t>
  </si>
  <si>
    <t>Dirichlet Distribution</t>
  </si>
  <si>
    <t>Simple Random Sample (SRS)</t>
  </si>
  <si>
    <t>Systematic Sampling</t>
  </si>
  <si>
    <t>Stratified Sampling</t>
  </si>
  <si>
    <t>Cluster Sampling</t>
  </si>
  <si>
    <t>Inverse Transform</t>
  </si>
  <si>
    <t>General Transformation Methods</t>
  </si>
  <si>
    <t>Accept-Reject Methos</t>
  </si>
  <si>
    <t>Monte Carlo Sampling</t>
  </si>
  <si>
    <t>Importance Sampling</t>
  </si>
  <si>
    <t>Stabilizing a Time Series</t>
  </si>
  <si>
    <t>Autocovariance, Autocorrelation, Correlogram</t>
  </si>
  <si>
    <t>A Few Models</t>
  </si>
  <si>
    <t>Simple Exponential Smoothing</t>
  </si>
  <si>
    <t>Holt and Holt-Winters Forecasting</t>
  </si>
  <si>
    <t>Box-Jenkins Procedure (ARIMA)</t>
  </si>
  <si>
    <t>eda_v3</t>
  </si>
  <si>
    <t>author</t>
  </si>
  <si>
    <t>Heights of Fathers and Sons</t>
  </si>
  <si>
    <t>Class Exercise: Diamond Data</t>
  </si>
  <si>
    <t>Class Exercise: General Social Survey Data</t>
  </si>
  <si>
    <t>Discussion: what should EDA mean?</t>
  </si>
  <si>
    <t>Team Exercises</t>
  </si>
  <si>
    <t>Resources</t>
  </si>
  <si>
    <t>pg_doc</t>
  </si>
  <si>
    <t>TT</t>
  </si>
  <si>
    <t>Z-Scores: transforming data values to standard units</t>
  </si>
  <si>
    <t>SD line</t>
  </si>
  <si>
    <t>Regression line</t>
  </si>
  <si>
    <t>The Normal distribution</t>
  </si>
  <si>
    <t>Simulating Random Variables</t>
  </si>
  <si>
    <t>Cautionary Remarks</t>
  </si>
  <si>
    <t>Robust statistics</t>
  </si>
  <si>
    <t>Anscombe Quartet</t>
  </si>
  <si>
    <t>Statistical Independence</t>
  </si>
  <si>
    <t>Definition</t>
  </si>
  <si>
    <t>The case when X and Y are categorical variables</t>
  </si>
  <si>
    <t>Simpson’s Paradox</t>
  </si>
  <si>
    <t>Entropy</t>
  </si>
  <si>
    <t>Background</t>
  </si>
  <si>
    <t>Yes-No Questions</t>
  </si>
  <si>
    <t>HX,Y for independent X,Y</t>
  </si>
  <si>
    <t>Mutual Information</t>
  </si>
  <si>
    <t>KL Divergence</t>
  </si>
  <si>
    <t>ab</t>
  </si>
  <si>
    <t>a</t>
  </si>
  <si>
    <t>b</t>
  </si>
  <si>
    <t>Exploratory Data Analysis</t>
  </si>
  <si>
    <t>Conditional Distributions</t>
  </si>
  <si>
    <t>am_pm</t>
  </si>
  <si>
    <t>dt_session</t>
  </si>
  <si>
    <t>AM</t>
  </si>
  <si>
    <t>PM</t>
  </si>
  <si>
    <t>speaker</t>
  </si>
  <si>
    <t>Clustering: EDA in Higher Dimensions</t>
  </si>
  <si>
    <t>Initial Remarks</t>
  </si>
  <si>
    <t>US Colleges</t>
  </si>
  <si>
    <t>Class Exercise</t>
  </si>
  <si>
    <t>Grouping Variables</t>
  </si>
  <si>
    <t>Example: college data grouping variables</t>
  </si>
  <si>
    <t>Measures of clustering effectiveness</t>
  </si>
  <si>
    <t>Standardizing variables</t>
  </si>
  <si>
    <t>Within-group distances in standard units</t>
  </si>
  <si>
    <t>K-means Clustering</t>
  </si>
  <si>
    <t>Results for specified inital cluster centers</t>
  </si>
  <si>
    <t>Jaccard similarity</t>
  </si>
  <si>
    <t>Distribution of point-center distances</t>
  </si>
  <si>
    <t>Results for random inital cluster centers</t>
  </si>
  <si>
    <t>Which value of K?</t>
  </si>
  <si>
    <t>Other clustering algorithms</t>
  </si>
  <si>
    <t>Text Analysis</t>
  </si>
  <si>
    <t>Text Example</t>
  </si>
  <si>
    <t>Larger Text Examples</t>
  </si>
  <si>
    <t>Jane Austen’s novels</t>
  </si>
  <si>
    <t>The Gutenberg Project</t>
  </si>
  <si>
    <t>TF-IDF: Term Frequency - Inverse Doc Frequency</t>
  </si>
  <si>
    <t>Document-Term Matrix (DTM)</t>
  </si>
  <si>
    <t>Example: Associated Press articles</t>
  </si>
  <si>
    <t>Example: inaugural addresses of US presidents</t>
  </si>
  <si>
    <t>Topic Models</t>
  </si>
  <si>
    <t>Latent Dirichlet allocation (LDA)</t>
  </si>
  <si>
    <t>Additional Aspects of Text Analysis</t>
  </si>
  <si>
    <t>Sampling and Study Design</t>
  </si>
  <si>
    <t>Observational Study Examples</t>
  </si>
  <si>
    <t>Literary Digest Poll, 1936</t>
  </si>
  <si>
    <t>Truman versus Dewey, 1948</t>
  </si>
  <si>
    <t>Using Chance in Surveys</t>
  </si>
  <si>
    <t>More Recent Election Polls</t>
  </si>
  <si>
    <t>UC Berkeley Admissions</t>
  </si>
  <si>
    <t>Experimental Study Examples</t>
  </si>
  <si>
    <t>Salk Vaccine Field Trial</t>
  </si>
  <si>
    <t>Portacaval Shunt</t>
  </si>
  <si>
    <t>Repeated Weighing of NB10</t>
  </si>
  <si>
    <t>Accuracy of the Sample Average</t>
  </si>
  <si>
    <t>MJ</t>
  </si>
  <si>
    <t>Linear Algebra</t>
  </si>
  <si>
    <t>KT</t>
  </si>
  <si>
    <t>Time Series &amp; Point Processes: Frequency Analysis</t>
  </si>
  <si>
    <t>App-A: Probability Review</t>
  </si>
  <si>
    <t>Basic Principles</t>
  </si>
  <si>
    <t>Bayes Theorem</t>
  </si>
  <si>
    <t>Probability Distributions</t>
  </si>
  <si>
    <t>A Few Discrete Distributions</t>
  </si>
  <si>
    <t>A Few Continuous Distributions</t>
  </si>
  <si>
    <t>Limit Theorems</t>
  </si>
  <si>
    <t>Distributions of One Variable</t>
  </si>
  <si>
    <t>Joint Distributions</t>
  </si>
  <si>
    <t>Estimation</t>
  </si>
  <si>
    <t>Factoring Matrices</t>
  </si>
  <si>
    <t>Eigenvalue Decomposition</t>
  </si>
  <si>
    <t>Some Eigenvalue Facts</t>
  </si>
  <si>
    <t>"Big Data" Applications</t>
  </si>
  <si>
    <t>(Cool) Facts about the SVD</t>
  </si>
  <si>
    <t>(Very Cool) Facts about the SVD</t>
  </si>
  <si>
    <t>Applications</t>
  </si>
  <si>
    <t>App-B: SVD Notes by Carla Martin</t>
  </si>
  <si>
    <t>s_1a_topics</t>
  </si>
  <si>
    <t>Tony T</t>
  </si>
  <si>
    <t>adthral</t>
  </si>
  <si>
    <t>jan_13_17</t>
  </si>
  <si>
    <t>outline of initial session</t>
  </si>
  <si>
    <t>outline of topics presented</t>
  </si>
  <si>
    <t>name_src_PoC</t>
  </si>
  <si>
    <t>id_src_PoC</t>
  </si>
  <si>
    <t>org_src_PoC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</si>
</sst>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#,##0.000"/>
    <numFmt numFmtId="165" formatCode="0.0E+00"/>
    <numFmt numFmtId="166" formatCode="[$-409]dd\-mmm\-yy;@"/>
    <numFmt numFmtId="167" formatCode="[$-409]d\-mmm\-yyyy;@"/>
    <numFmt numFmtId="168" formatCode="[$-409]h:mm\ AM/PM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left" vertical="top" indent="1"/>
    </xf>
    <xf numFmtId="49" fontId="2" fillId="0" borderId="0" xfId="1" applyNumberFormat="1" applyFont="1" applyAlignment="1">
      <alignment horizontal="left" vertical="top" indent="1"/>
    </xf>
    <xf numFmtId="164" fontId="2" fillId="0" borderId="0" xfId="1" applyNumberFormat="1" applyFont="1" applyAlignment="1">
      <alignment horizontal="right" vertical="top" indent="1"/>
    </xf>
    <xf numFmtId="1" fontId="2" fillId="0" borderId="0" xfId="1" applyNumberFormat="1" applyFont="1" applyAlignment="1">
      <alignment horizontal="left" vertical="top" indent="1"/>
    </xf>
    <xf numFmtId="9" fontId="2" fillId="0" borderId="0" xfId="1" applyNumberFormat="1" applyFont="1" applyAlignment="1">
      <alignment horizontal="left" vertical="top" indent="1"/>
    </xf>
    <xf numFmtId="41" fontId="2" fillId="0" borderId="0" xfId="1" applyNumberFormat="1" applyFont="1" applyAlignment="1">
      <alignment horizontal="left" vertical="top" indent="1"/>
    </xf>
    <xf numFmtId="165" fontId="2" fillId="0" borderId="0" xfId="1" applyNumberFormat="1" applyFont="1" applyAlignment="1">
      <alignment horizontal="left" vertical="top" indent="1"/>
    </xf>
    <xf numFmtId="166" fontId="2" fillId="0" borderId="0" xfId="1" applyNumberFormat="1" applyFont="1" applyAlignment="1">
      <alignment horizontal="left" vertical="top" indent="1"/>
    </xf>
    <xf numFmtId="167" fontId="2" fillId="0" borderId="0" xfId="1" applyNumberFormat="1" applyFont="1" applyAlignment="1">
      <alignment horizontal="left" vertical="top" indent="1"/>
    </xf>
    <xf numFmtId="168" fontId="2" fillId="0" borderId="0" xfId="1" applyNumberFormat="1" applyFont="1" applyAlignment="1">
      <alignment horizontal="left" vertical="top" indent="1"/>
    </xf>
    <xf numFmtId="0" fontId="3" fillId="0" borderId="0" xfId="1" applyFont="1" applyAlignment="1">
      <alignment horizontal="left" vertical="top" indent="1"/>
    </xf>
    <xf numFmtId="166" fontId="3" fillId="0" borderId="0" xfId="1" applyNumberFormat="1" applyFont="1" applyAlignment="1">
      <alignment horizontal="right" vertical="top" indent="1"/>
    </xf>
    <xf numFmtId="164" fontId="3" fillId="0" borderId="0" xfId="1" applyNumberFormat="1" applyFont="1" applyAlignment="1">
      <alignment horizontal="right" vertical="top" indent="1"/>
    </xf>
    <xf numFmtId="1" fontId="3" fillId="0" borderId="0" xfId="1" applyNumberFormat="1" applyFont="1" applyAlignment="1">
      <alignment horizontal="right" vertical="top" indent="1"/>
    </xf>
    <xf numFmtId="9" fontId="3" fillId="0" borderId="0" xfId="1" applyNumberFormat="1" applyFont="1" applyAlignment="1">
      <alignment horizontal="right" vertical="top" indent="1"/>
    </xf>
    <xf numFmtId="41" fontId="3" fillId="0" borderId="0" xfId="1" applyNumberFormat="1" applyFont="1" applyAlignment="1">
      <alignment horizontal="left" vertical="top" indent="1"/>
    </xf>
    <xf numFmtId="165" fontId="3" fillId="0" borderId="0" xfId="1" applyNumberFormat="1" applyFont="1" applyAlignment="1">
      <alignment horizontal="left" vertical="top" indent="1"/>
    </xf>
    <xf numFmtId="167" fontId="3" fillId="0" borderId="0" xfId="1" applyNumberFormat="1" applyFont="1" applyAlignment="1">
      <alignment horizontal="right" vertical="top" indent="1"/>
    </xf>
    <xf numFmtId="168" fontId="3" fillId="0" borderId="0" xfId="1" applyNumberFormat="1" applyFont="1" applyAlignment="1">
      <alignment horizontal="right" vertical="top" indent="1"/>
    </xf>
    <xf numFmtId="0" fontId="4" fillId="0" borderId="0" xfId="1" applyFont="1" applyAlignment="1">
      <alignment horizontal="left" vertical="top" indent="1"/>
    </xf>
    <xf numFmtId="49" fontId="4" fillId="0" borderId="0" xfId="1" applyNumberFormat="1" applyFont="1" applyAlignment="1">
      <alignment horizontal="left" vertical="top" indent="1"/>
    </xf>
    <xf numFmtId="164" fontId="4" fillId="0" borderId="0" xfId="1" applyNumberFormat="1" applyFont="1" applyAlignment="1">
      <alignment horizontal="right" vertical="top" indent="1"/>
    </xf>
    <xf numFmtId="1" fontId="4" fillId="0" borderId="0" xfId="1" applyNumberFormat="1" applyFont="1" applyAlignment="1">
      <alignment horizontal="right" vertical="top" indent="1"/>
    </xf>
    <xf numFmtId="9" fontId="4" fillId="0" borderId="0" xfId="1" applyNumberFormat="1" applyFont="1" applyAlignment="1">
      <alignment horizontal="right" vertical="top" indent="1"/>
    </xf>
    <xf numFmtId="41" fontId="4" fillId="0" borderId="0" xfId="1" applyNumberFormat="1" applyFont="1" applyAlignment="1">
      <alignment horizontal="left" vertical="top" indent="1"/>
    </xf>
    <xf numFmtId="165" fontId="4" fillId="0" borderId="0" xfId="1" applyNumberFormat="1" applyFont="1" applyAlignment="1">
      <alignment horizontal="left" vertical="top" indent="1"/>
    </xf>
    <xf numFmtId="166" fontId="4" fillId="0" borderId="0" xfId="1" applyNumberFormat="1" applyFont="1" applyAlignment="1">
      <alignment horizontal="right" vertical="top" indent="1"/>
    </xf>
    <xf numFmtId="167" fontId="4" fillId="0" borderId="0" xfId="1" applyNumberFormat="1" applyFont="1" applyAlignment="1">
      <alignment horizontal="right" vertical="top" indent="1"/>
    </xf>
    <xf numFmtId="168" fontId="4" fillId="0" borderId="0" xfId="1" applyNumberFormat="1" applyFont="1" applyAlignment="1">
      <alignment horizontal="right" vertical="top" indent="1"/>
    </xf>
  </cellXfs>
  <cellStyles count="2">
    <cellStyle name="Normal" xfId="0" builtinId="0"/>
    <cellStyle name="Normal 2" xfId="1" xr:uid="{07B7AA6C-8F49-4CCA-BC8E-CC994153C0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hrall/My%20Documents/My%20Dropbox/athrall-Dropbox/client_notes/client-notes_2011-Q1/eBP-awareness-GMB-test_2011-H1/spreadsheets/eBP-statistical-power-calcs_2011-02-23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ny%20Thrall/My%20Documents/My%20Dropbox/tthrall_post_2009/professional_post_2005/Stat_XB2/course_content/selected_problems/chpt_10/chpt_10_sec_06_prb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count_per_factor"/>
      <sheetName val="pct_per_factor"/>
      <sheetName val="Pearson_residual_per_factor"/>
      <sheetName val="anticip_delta"/>
      <sheetName val="mean_GMB"/>
      <sheetName val="sd_GMB"/>
      <sheetName val="cv_GMB"/>
      <sheetName val="delta_1_1_p50"/>
      <sheetName val="delta_1_2_p50"/>
      <sheetName val="delta_2_1_p50"/>
      <sheetName val="delta_2_2_p50"/>
      <sheetName val="delta_1_1_p90"/>
      <sheetName val="delta_1_2_p90"/>
      <sheetName val="delta_2_1_p90"/>
      <sheetName val="delta_2_2_p90"/>
      <sheetName val="LTR_scale"/>
      <sheetName val="US_surveyable"/>
      <sheetName val="NPS_smaller_proposal"/>
      <sheetName val="NPS_larger_proposal"/>
      <sheetName val="NPS_responses_40"/>
      <sheetName val="NPS_responses_100"/>
      <sheetName val="NPS_AB_data"/>
      <sheetName val="NPS_CD_data"/>
      <sheetName val="d_CD_LTR"/>
      <sheetName val="r_CD_LTR"/>
      <sheetName val="d_CD_LTR_refine"/>
      <sheetName val="r_CD_LTR_refine"/>
      <sheetName val="d_CD_LTR_expand"/>
      <sheetName val="r_CD_LTR_expand"/>
      <sheetName val="d_CD_NPS"/>
      <sheetName val="r_CD_NPS"/>
      <sheetName val="d_CD_NPS_refine"/>
      <sheetName val="r_CD_NPS_refine"/>
      <sheetName val="d_CD_NPS_expand"/>
      <sheetName val="r_CD_NPS_expand"/>
      <sheetName val="d_CD_LTR_50k"/>
      <sheetName val="r_CD_LTR_50k"/>
      <sheetName val="d_CD_NPS_50k"/>
      <sheetName val="r_CD_NPS_50k"/>
      <sheetName val="GMB_all_traffic"/>
      <sheetName val="GMB_summary"/>
      <sheetName val="LTR_40_pct"/>
      <sheetName val="LTR_100_pct"/>
      <sheetName val="NPS_expected_40_pct"/>
      <sheetName val="NPS_100_pct"/>
      <sheetName val="traffic_40"/>
      <sheetName val="d_GMB_overall_to_100pct"/>
      <sheetName val="d_GMB_40pct"/>
      <sheetName val="d_GMB_100pct"/>
    </sheetNames>
    <sheetDataSet>
      <sheetData sheetId="0"/>
      <sheetData sheetId="1" refreshError="1"/>
      <sheetData sheetId="2">
        <row r="1">
          <cell r="D1" t="str">
            <v>all-Buyers</v>
          </cell>
        </row>
        <row r="6">
          <cell r="A6" t="str">
            <v>noOct</v>
          </cell>
          <cell r="B6">
            <v>0.33004155617860653</v>
          </cell>
          <cell r="C6">
            <v>7.4580127065205001E-3</v>
          </cell>
          <cell r="D6">
            <v>0.33749956888512705</v>
          </cell>
        </row>
        <row r="7">
          <cell r="A7" t="str">
            <v>yesOct</v>
          </cell>
          <cell r="B7">
            <v>0.60183570360473548</v>
          </cell>
          <cell r="C7">
            <v>6.0664727510137517E-2</v>
          </cell>
          <cell r="D7">
            <v>0.662500431114873</v>
          </cell>
        </row>
        <row r="8">
          <cell r="D8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statistics"/>
      <sheetName val="percentiles"/>
    </sheetNames>
    <sheetDataSet>
      <sheetData sheetId="0"/>
      <sheetData sheetId="1">
        <row r="2">
          <cell r="A2">
            <v>0.5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512A-D2C8-4413-AB88-7B7614F4A639}">
  <sheetPr>
    <pageSetUpPr fitToPage="1"/>
  </sheetPr>
  <dimension ref="A1:M60"/>
  <sheetViews>
    <sheetView zoomScale="120" zoomScaleNormal="12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2.9" x14ac:dyDescent="0.55000000000000004"/>
  <cols>
    <col min="1" max="1" width="12.5234375" style="20" customWidth="1"/>
    <col min="2" max="2" width="8.7890625" style="20"/>
    <col min="3" max="3" width="12.7890625" style="21" bestFit="1" customWidth="1"/>
    <col min="4" max="4" width="8.7890625" style="22"/>
    <col min="5" max="5" width="8.7890625" style="23"/>
    <col min="6" max="6" width="8.7890625" style="24"/>
    <col min="7" max="7" width="10.5234375" style="25" customWidth="1"/>
    <col min="8" max="8" width="8.7890625" style="26"/>
    <col min="9" max="9" width="12.7890625" style="27" bestFit="1" customWidth="1"/>
    <col min="10" max="10" width="15.5234375" style="28" customWidth="1"/>
    <col min="11" max="11" width="8.7890625" style="20"/>
    <col min="12" max="12" width="12.7890625" style="29" bestFit="1" customWidth="1"/>
    <col min="13" max="13" width="18.5234375" style="20" customWidth="1"/>
    <col min="14" max="16384" width="8.7890625" style="20"/>
  </cols>
  <sheetData>
    <row r="1" spans="1:13" s="1" customFormat="1" ht="18" customHeight="1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" t="s">
        <v>10</v>
      </c>
      <c r="L1" s="10" t="s">
        <v>11</v>
      </c>
      <c r="M1" s="1" t="s">
        <v>12</v>
      </c>
    </row>
    <row r="2" spans="1:13" s="11" customFormat="1" ht="10.5" x14ac:dyDescent="0.55000000000000004">
      <c r="A2" s="11" t="s">
        <v>13</v>
      </c>
      <c r="C2" s="12"/>
      <c r="D2" s="13">
        <f t="shared" ref="D2:J2" si="0" xml:space="preserve"> MAX(D$6:D$105)</f>
        <v>20.085536923187668</v>
      </c>
      <c r="E2" s="14">
        <f t="shared" si="0"/>
        <v>20085.536923187668</v>
      </c>
      <c r="F2" s="15">
        <f t="shared" si="0"/>
        <v>20.085536923187668</v>
      </c>
      <c r="G2" s="16">
        <f t="shared" si="0"/>
        <v>20085.536923187668</v>
      </c>
      <c r="H2" s="17">
        <f t="shared" si="0"/>
        <v>20.085536923187668</v>
      </c>
      <c r="I2" s="12">
        <f t="shared" si="0"/>
        <v>47490.135440040314</v>
      </c>
      <c r="J2" s="18">
        <f t="shared" si="0"/>
        <v>47490.135440040314</v>
      </c>
      <c r="L2" s="19">
        <f xml:space="preserve"> MAX(L$6:L$105)</f>
        <v>0.83689737179948609</v>
      </c>
    </row>
    <row r="3" spans="1:13" s="11" customFormat="1" ht="10.5" x14ac:dyDescent="0.55000000000000004">
      <c r="A3" s="11" t="s">
        <v>14</v>
      </c>
      <c r="C3" s="12"/>
      <c r="D3" s="13">
        <f t="shared" ref="D3:J3" si="1" xml:space="preserve"> MEDIAN(D$6:D$105)</f>
        <v>1.4913616938342726</v>
      </c>
      <c r="E3" s="14">
        <f t="shared" si="1"/>
        <v>1491.3616938342727</v>
      </c>
      <c r="F3" s="15">
        <f t="shared" si="1"/>
        <v>1.4913616938342726</v>
      </c>
      <c r="G3" s="16">
        <f t="shared" si="1"/>
        <v>1491.3616938342727</v>
      </c>
      <c r="H3" s="17">
        <f t="shared" si="1"/>
        <v>1.4913616938342726</v>
      </c>
      <c r="I3" s="12">
        <f t="shared" si="1"/>
        <v>40721.855656555672</v>
      </c>
      <c r="J3" s="18">
        <f t="shared" si="1"/>
        <v>40721.855656555672</v>
      </c>
      <c r="L3" s="19">
        <f xml:space="preserve"> MEDIAN(L$6:L$105)</f>
        <v>6.2140070576428022E-2</v>
      </c>
    </row>
    <row r="4" spans="1:13" s="11" customFormat="1" ht="10.5" x14ac:dyDescent="0.55000000000000004">
      <c r="A4" s="11" t="s">
        <v>15</v>
      </c>
      <c r="C4" s="12"/>
      <c r="D4" s="13">
        <f t="shared" ref="D4:J4" si="2" xml:space="preserve"> MIN(D$6:D$105)</f>
        <v>0</v>
      </c>
      <c r="E4" s="14">
        <f t="shared" si="2"/>
        <v>0</v>
      </c>
      <c r="F4" s="15">
        <f t="shared" si="2"/>
        <v>0</v>
      </c>
      <c r="G4" s="16">
        <f t="shared" si="2"/>
        <v>0</v>
      </c>
      <c r="H4" s="17">
        <f t="shared" si="2"/>
        <v>0</v>
      </c>
      <c r="I4" s="12">
        <f t="shared" si="2"/>
        <v>40179</v>
      </c>
      <c r="J4" s="18">
        <f t="shared" si="2"/>
        <v>40179</v>
      </c>
      <c r="L4" s="19">
        <f xml:space="preserve"> MIN(L$6:L$105)</f>
        <v>0</v>
      </c>
    </row>
    <row r="5" spans="1:13" s="11" customFormat="1" ht="25" customHeight="1" x14ac:dyDescent="0.55000000000000004">
      <c r="A5" s="11" t="s">
        <v>16</v>
      </c>
      <c r="B5" s="16">
        <f>COUNTIF(B$6:B$105, TRUE)</f>
        <v>25</v>
      </c>
      <c r="C5" s="16">
        <f t="shared" ref="C5:M5" si="3">COUNTA(C$6:C$105)</f>
        <v>55</v>
      </c>
      <c r="D5" s="16">
        <f t="shared" si="3"/>
        <v>55</v>
      </c>
      <c r="E5" s="14">
        <f t="shared" si="3"/>
        <v>55</v>
      </c>
      <c r="F5" s="16">
        <f t="shared" si="3"/>
        <v>55</v>
      </c>
      <c r="G5" s="16">
        <f t="shared" si="3"/>
        <v>55</v>
      </c>
      <c r="H5" s="16">
        <f t="shared" si="3"/>
        <v>55</v>
      </c>
      <c r="I5" s="16">
        <f t="shared" si="3"/>
        <v>55</v>
      </c>
      <c r="J5" s="16">
        <f t="shared" si="3"/>
        <v>55</v>
      </c>
      <c r="K5" s="16">
        <f t="shared" si="3"/>
        <v>55</v>
      </c>
      <c r="L5" s="16">
        <f t="shared" si="3"/>
        <v>55</v>
      </c>
      <c r="M5" s="16">
        <f t="shared" si="3"/>
        <v>5</v>
      </c>
    </row>
    <row r="6" spans="1:13" x14ac:dyDescent="0.55000000000000004">
      <c r="A6" s="20" t="s">
        <v>17</v>
      </c>
      <c r="C6" s="21" t="str">
        <f t="shared" ref="C6:C60" si="4" xml:space="preserve"> $A6</f>
        <v>zero</v>
      </c>
      <c r="D6" s="22">
        <f xml:space="preserve"> 0</f>
        <v>0</v>
      </c>
      <c r="E6" s="23">
        <f t="shared" ref="E6:E60" si="5" xml:space="preserve"> $D6 * 10^3</f>
        <v>0</v>
      </c>
      <c r="F6" s="24">
        <f t="shared" ref="F6:F60" si="6" xml:space="preserve"> $D6</f>
        <v>0</v>
      </c>
      <c r="G6" s="25">
        <f t="shared" ref="G6:G60" si="7" xml:space="preserve"> $D6 * 10^3</f>
        <v>0</v>
      </c>
      <c r="H6" s="26">
        <f t="shared" ref="H6:H60" si="8" xml:space="preserve"> $D6</f>
        <v>0</v>
      </c>
      <c r="I6" s="27">
        <f t="shared" ref="I6:J25" si="9" xml:space="preserve"> DATE(2010, 1, 1) + $D6 * (DATE(2010, 12, 31) - DATE(2010, 1, 1))</f>
        <v>40179</v>
      </c>
      <c r="J6" s="28">
        <f t="shared" si="9"/>
        <v>40179</v>
      </c>
      <c r="K6" s="20" t="str">
        <f t="shared" ref="K6:K60" si="10" xml:space="preserve"> CHOOSE( WEEKDAY($I6), "Sun", "Mon", "Tue", "Wed", "Thu", "Fri", "Sat")</f>
        <v>Fri</v>
      </c>
      <c r="L6" s="29">
        <f t="shared" ref="L6:L60" si="11" xml:space="preserve"> TIME(0, 0, 0) + $D6 * (TIME(1, 0, 0) - TIME(0, 0, 0))</f>
        <v>0</v>
      </c>
    </row>
    <row r="7" spans="1:13" x14ac:dyDescent="0.55000000000000004">
      <c r="A7" s="20" t="s">
        <v>18</v>
      </c>
      <c r="C7" s="21" t="str">
        <f t="shared" si="4"/>
        <v>exp(-3)</v>
      </c>
      <c r="D7" s="22">
        <f xml:space="preserve"> EXP(-3)</f>
        <v>4.9787068367863944E-2</v>
      </c>
      <c r="E7" s="23">
        <f t="shared" si="5"/>
        <v>49.787068367863945</v>
      </c>
      <c r="F7" s="24">
        <f t="shared" si="6"/>
        <v>4.9787068367863944E-2</v>
      </c>
      <c r="G7" s="25">
        <f t="shared" si="7"/>
        <v>49.787068367863945</v>
      </c>
      <c r="H7" s="26">
        <f t="shared" si="8"/>
        <v>4.9787068367863944E-2</v>
      </c>
      <c r="I7" s="27">
        <f t="shared" si="9"/>
        <v>40197.122492885901</v>
      </c>
      <c r="J7" s="28">
        <f t="shared" si="9"/>
        <v>40197.122492885901</v>
      </c>
      <c r="K7" s="20" t="str">
        <f t="shared" si="10"/>
        <v>Tue</v>
      </c>
      <c r="L7" s="29">
        <f t="shared" si="11"/>
        <v>2.0744611819943307E-3</v>
      </c>
    </row>
    <row r="8" spans="1:13" x14ac:dyDescent="0.55000000000000004">
      <c r="A8" s="20" t="s">
        <v>19</v>
      </c>
      <c r="C8" s="21" t="str">
        <f t="shared" si="4"/>
        <v>eleventh</v>
      </c>
      <c r="D8" s="22">
        <f xml:space="preserve"> 1/11</f>
        <v>9.0909090909090912E-2</v>
      </c>
      <c r="E8" s="23">
        <f t="shared" si="5"/>
        <v>90.909090909090907</v>
      </c>
      <c r="F8" s="24">
        <f t="shared" si="6"/>
        <v>9.0909090909090912E-2</v>
      </c>
      <c r="G8" s="25">
        <f t="shared" si="7"/>
        <v>90.909090909090907</v>
      </c>
      <c r="H8" s="26">
        <f t="shared" si="8"/>
        <v>9.0909090909090912E-2</v>
      </c>
      <c r="I8" s="27">
        <f t="shared" si="9"/>
        <v>40212.090909090912</v>
      </c>
      <c r="J8" s="28">
        <f t="shared" si="9"/>
        <v>40212.090909090912</v>
      </c>
      <c r="K8" s="20" t="str">
        <f t="shared" si="10"/>
        <v>Wed</v>
      </c>
      <c r="L8" s="29">
        <f t="shared" si="11"/>
        <v>3.787878787878788E-3</v>
      </c>
    </row>
    <row r="9" spans="1:13" x14ac:dyDescent="0.55000000000000004">
      <c r="A9" s="20" t="s">
        <v>20</v>
      </c>
      <c r="C9" s="21" t="str">
        <f t="shared" si="4"/>
        <v>exp(-2)</v>
      </c>
      <c r="D9" s="22">
        <f xml:space="preserve"> EXP(-2)</f>
        <v>0.1353352832366127</v>
      </c>
      <c r="E9" s="23">
        <f t="shared" si="5"/>
        <v>135.3352832366127</v>
      </c>
      <c r="F9" s="24">
        <f t="shared" si="6"/>
        <v>0.1353352832366127</v>
      </c>
      <c r="G9" s="25">
        <f t="shared" si="7"/>
        <v>135.3352832366127</v>
      </c>
      <c r="H9" s="26">
        <f t="shared" si="8"/>
        <v>0.1353352832366127</v>
      </c>
      <c r="I9" s="27">
        <f t="shared" si="9"/>
        <v>40228.262043098126</v>
      </c>
      <c r="J9" s="28">
        <f t="shared" si="9"/>
        <v>40228.262043098126</v>
      </c>
      <c r="K9" s="20" t="str">
        <f t="shared" si="10"/>
        <v>Fri</v>
      </c>
      <c r="L9" s="29">
        <f t="shared" si="11"/>
        <v>5.638970134858862E-3</v>
      </c>
    </row>
    <row r="10" spans="1:13" x14ac:dyDescent="0.55000000000000004">
      <c r="A10" s="20" t="s">
        <v>21</v>
      </c>
      <c r="C10" s="21" t="str">
        <f t="shared" si="4"/>
        <v>TwoPi^(-1.0)</v>
      </c>
      <c r="D10" s="22">
        <f xml:space="preserve"> 1/(2 * PI())</f>
        <v>0.15915494309189535</v>
      </c>
      <c r="E10" s="23">
        <f t="shared" si="5"/>
        <v>159.15494309189535</v>
      </c>
      <c r="F10" s="24">
        <f t="shared" si="6"/>
        <v>0.15915494309189535</v>
      </c>
      <c r="G10" s="25">
        <f t="shared" si="7"/>
        <v>159.15494309189535</v>
      </c>
      <c r="H10" s="26">
        <f t="shared" si="8"/>
        <v>0.15915494309189535</v>
      </c>
      <c r="I10" s="27">
        <f t="shared" si="9"/>
        <v>40236.932399285448</v>
      </c>
      <c r="J10" s="28">
        <f t="shared" si="9"/>
        <v>40236.932399285448</v>
      </c>
      <c r="K10" s="20" t="str">
        <f t="shared" si="10"/>
        <v>Sat</v>
      </c>
      <c r="L10" s="29">
        <f t="shared" si="11"/>
        <v>6.6314559621623061E-3</v>
      </c>
    </row>
    <row r="11" spans="1:13" x14ac:dyDescent="0.55000000000000004">
      <c r="A11" s="20" t="s">
        <v>22</v>
      </c>
      <c r="B11" s="20" t="b">
        <f xml:space="preserve"> TRUE</f>
        <v>1</v>
      </c>
      <c r="C11" s="21" t="str">
        <f t="shared" si="4"/>
        <v>Log10(2)</v>
      </c>
      <c r="D11" s="22">
        <f xml:space="preserve"> LOG(2, 10)</f>
        <v>0.30102999566398114</v>
      </c>
      <c r="E11" s="23">
        <f t="shared" si="5"/>
        <v>301.02999566398114</v>
      </c>
      <c r="F11" s="24">
        <f t="shared" si="6"/>
        <v>0.30102999566398114</v>
      </c>
      <c r="G11" s="25">
        <f t="shared" si="7"/>
        <v>301.02999566398114</v>
      </c>
      <c r="H11" s="26">
        <f t="shared" si="8"/>
        <v>0.30102999566398114</v>
      </c>
      <c r="I11" s="27">
        <f t="shared" si="9"/>
        <v>40288.574918421691</v>
      </c>
      <c r="J11" s="28">
        <f t="shared" si="9"/>
        <v>40288.574918421691</v>
      </c>
      <c r="K11" s="20" t="str">
        <f t="shared" si="10"/>
        <v>Tue</v>
      </c>
      <c r="L11" s="29">
        <f t="shared" si="11"/>
        <v>1.2542916485999214E-2</v>
      </c>
    </row>
    <row r="12" spans="1:13" x14ac:dyDescent="0.55000000000000004">
      <c r="A12" s="20" t="s">
        <v>23</v>
      </c>
      <c r="C12" s="21" t="str">
        <f t="shared" si="4"/>
        <v>PI^(-1.0)</v>
      </c>
      <c r="D12" s="22">
        <f xml:space="preserve"> 1/PI()</f>
        <v>0.31830988618379069</v>
      </c>
      <c r="E12" s="23">
        <f t="shared" si="5"/>
        <v>318.3098861837907</v>
      </c>
      <c r="F12" s="24">
        <f t="shared" si="6"/>
        <v>0.31830988618379069</v>
      </c>
      <c r="G12" s="25">
        <f t="shared" si="7"/>
        <v>318.3098861837907</v>
      </c>
      <c r="H12" s="26">
        <f t="shared" si="8"/>
        <v>0.31830988618379069</v>
      </c>
      <c r="I12" s="27">
        <f t="shared" si="9"/>
        <v>40294.864798570903</v>
      </c>
      <c r="J12" s="28">
        <f t="shared" si="9"/>
        <v>40294.864798570903</v>
      </c>
      <c r="K12" s="20" t="str">
        <f t="shared" si="10"/>
        <v>Mon</v>
      </c>
      <c r="L12" s="29">
        <f t="shared" si="11"/>
        <v>1.3262911924324612E-2</v>
      </c>
    </row>
    <row r="13" spans="1:13" x14ac:dyDescent="0.55000000000000004">
      <c r="A13" s="20" t="s">
        <v>24</v>
      </c>
      <c r="C13" s="21" t="str">
        <f t="shared" si="4"/>
        <v>exp(-1)</v>
      </c>
      <c r="D13" s="22">
        <f xml:space="preserve"> EXP(-1)</f>
        <v>0.36787944117144233</v>
      </c>
      <c r="E13" s="23">
        <f t="shared" si="5"/>
        <v>367.87944117144235</v>
      </c>
      <c r="F13" s="24">
        <f t="shared" si="6"/>
        <v>0.36787944117144233</v>
      </c>
      <c r="G13" s="25">
        <f t="shared" si="7"/>
        <v>367.87944117144235</v>
      </c>
      <c r="H13" s="26">
        <f t="shared" si="8"/>
        <v>0.36787944117144233</v>
      </c>
      <c r="I13" s="27">
        <f t="shared" si="9"/>
        <v>40312.908116586405</v>
      </c>
      <c r="J13" s="28">
        <f t="shared" si="9"/>
        <v>40312.908116586405</v>
      </c>
      <c r="K13" s="20" t="str">
        <f t="shared" si="10"/>
        <v>Fri</v>
      </c>
      <c r="L13" s="29">
        <f t="shared" si="11"/>
        <v>1.5328310048810096E-2</v>
      </c>
    </row>
    <row r="14" spans="1:13" x14ac:dyDescent="0.55000000000000004">
      <c r="A14" s="20" t="s">
        <v>25</v>
      </c>
      <c r="C14" s="21" t="str">
        <f t="shared" si="4"/>
        <v>TwoPi^(-0.5)</v>
      </c>
      <c r="D14" s="22">
        <f xml:space="preserve"> 1/SQRT( 2 * PI() )</f>
        <v>0.3989422804014327</v>
      </c>
      <c r="E14" s="23">
        <f t="shared" si="5"/>
        <v>398.9422804014327</v>
      </c>
      <c r="F14" s="24">
        <f t="shared" si="6"/>
        <v>0.3989422804014327</v>
      </c>
      <c r="G14" s="25">
        <f t="shared" si="7"/>
        <v>398.9422804014327</v>
      </c>
      <c r="H14" s="26">
        <f t="shared" si="8"/>
        <v>0.3989422804014327</v>
      </c>
      <c r="I14" s="27">
        <f t="shared" si="9"/>
        <v>40324.214990066124</v>
      </c>
      <c r="J14" s="28">
        <f t="shared" si="9"/>
        <v>40324.214990066124</v>
      </c>
      <c r="K14" s="20" t="str">
        <f t="shared" si="10"/>
        <v>Wed</v>
      </c>
      <c r="L14" s="29">
        <f t="shared" si="11"/>
        <v>1.662259501672636E-2</v>
      </c>
    </row>
    <row r="15" spans="1:13" x14ac:dyDescent="0.55000000000000004">
      <c r="A15" s="20" t="s">
        <v>26</v>
      </c>
      <c r="C15" s="21" t="str">
        <f t="shared" si="4"/>
        <v>Log10(e)</v>
      </c>
      <c r="D15" s="22">
        <f xml:space="preserve"> LOG(EXP(1), 10)</f>
        <v>0.43429448190325176</v>
      </c>
      <c r="E15" s="23">
        <f t="shared" si="5"/>
        <v>434.29448190325178</v>
      </c>
      <c r="F15" s="24">
        <f t="shared" si="6"/>
        <v>0.43429448190325176</v>
      </c>
      <c r="G15" s="25">
        <f t="shared" si="7"/>
        <v>434.29448190325178</v>
      </c>
      <c r="H15" s="26">
        <f t="shared" si="8"/>
        <v>0.43429448190325176</v>
      </c>
      <c r="I15" s="27">
        <f t="shared" si="9"/>
        <v>40337.083191412785</v>
      </c>
      <c r="J15" s="28">
        <f t="shared" si="9"/>
        <v>40337.083191412785</v>
      </c>
      <c r="K15" s="20" t="str">
        <f t="shared" si="10"/>
        <v>Tue</v>
      </c>
      <c r="L15" s="29">
        <f t="shared" si="11"/>
        <v>1.809560341263549E-2</v>
      </c>
    </row>
    <row r="16" spans="1:13" x14ac:dyDescent="0.55000000000000004">
      <c r="A16" s="20" t="s">
        <v>27</v>
      </c>
      <c r="B16" s="20" t="b">
        <f xml:space="preserve"> TRUE</f>
        <v>1</v>
      </c>
      <c r="C16" s="21" t="str">
        <f t="shared" si="4"/>
        <v>Log10(3)</v>
      </c>
      <c r="D16" s="22">
        <f xml:space="preserve"> LOG(3, 10)</f>
        <v>0.47712125471966244</v>
      </c>
      <c r="E16" s="23">
        <f t="shared" si="5"/>
        <v>477.12125471966243</v>
      </c>
      <c r="F16" s="24">
        <f t="shared" si="6"/>
        <v>0.47712125471966244</v>
      </c>
      <c r="G16" s="25">
        <f t="shared" si="7"/>
        <v>477.12125471966243</v>
      </c>
      <c r="H16" s="26">
        <f t="shared" si="8"/>
        <v>0.47712125471966244</v>
      </c>
      <c r="I16" s="27">
        <f t="shared" si="9"/>
        <v>40352.672136717956</v>
      </c>
      <c r="J16" s="28">
        <f t="shared" si="9"/>
        <v>40352.672136717956</v>
      </c>
      <c r="K16" s="20" t="str">
        <f t="shared" si="10"/>
        <v>Wed</v>
      </c>
      <c r="L16" s="29">
        <f t="shared" si="11"/>
        <v>1.9880052279985932E-2</v>
      </c>
    </row>
    <row r="17" spans="1:13" x14ac:dyDescent="0.55000000000000004">
      <c r="A17" s="20" t="s">
        <v>28</v>
      </c>
      <c r="C17" s="21" t="str">
        <f t="shared" si="4"/>
        <v>PI^(-0.5)</v>
      </c>
      <c r="D17" s="22">
        <f xml:space="preserve"> 1/SQRT( PI() )</f>
        <v>0.56418958354775628</v>
      </c>
      <c r="E17" s="23">
        <f t="shared" si="5"/>
        <v>564.18958354775623</v>
      </c>
      <c r="F17" s="24">
        <f t="shared" si="6"/>
        <v>0.56418958354775628</v>
      </c>
      <c r="G17" s="25">
        <f t="shared" si="7"/>
        <v>564.18958354775623</v>
      </c>
      <c r="H17" s="26">
        <f t="shared" si="8"/>
        <v>0.56418958354775628</v>
      </c>
      <c r="I17" s="27">
        <f t="shared" si="9"/>
        <v>40384.365008411383</v>
      </c>
      <c r="J17" s="28">
        <f t="shared" si="9"/>
        <v>40384.365008411383</v>
      </c>
      <c r="K17" s="20" t="str">
        <f t="shared" si="10"/>
        <v>Sun</v>
      </c>
      <c r="L17" s="29">
        <f t="shared" si="11"/>
        <v>2.3507899314489843E-2</v>
      </c>
    </row>
    <row r="18" spans="1:13" x14ac:dyDescent="0.55000000000000004">
      <c r="A18" s="20" t="s">
        <v>29</v>
      </c>
      <c r="C18" s="21" t="str">
        <f t="shared" si="4"/>
        <v>gamma</v>
      </c>
      <c r="D18" s="22">
        <v>0.57721599999999995</v>
      </c>
      <c r="E18" s="23">
        <f t="shared" si="5"/>
        <v>577.21599999999989</v>
      </c>
      <c r="F18" s="24">
        <f t="shared" si="6"/>
        <v>0.57721599999999995</v>
      </c>
      <c r="G18" s="25">
        <f t="shared" si="7"/>
        <v>577.21599999999989</v>
      </c>
      <c r="H18" s="26">
        <f t="shared" si="8"/>
        <v>0.57721599999999995</v>
      </c>
      <c r="I18" s="27">
        <f t="shared" si="9"/>
        <v>40389.106624</v>
      </c>
      <c r="J18" s="28">
        <f t="shared" si="9"/>
        <v>40389.106624</v>
      </c>
      <c r="K18" s="20" t="str">
        <f t="shared" si="10"/>
        <v>Fri</v>
      </c>
      <c r="L18" s="29">
        <f t="shared" si="11"/>
        <v>2.4050666666666665E-2</v>
      </c>
    </row>
    <row r="19" spans="1:13" x14ac:dyDescent="0.55000000000000004">
      <c r="A19" s="20" t="s">
        <v>30</v>
      </c>
      <c r="C19" s="21" t="str">
        <f t="shared" si="4"/>
        <v>ln(2)</v>
      </c>
      <c r="D19" s="22">
        <f xml:space="preserve"> LN(2)</f>
        <v>0.69314718055994529</v>
      </c>
      <c r="E19" s="23">
        <f t="shared" si="5"/>
        <v>693.14718055994524</v>
      </c>
      <c r="F19" s="24">
        <f t="shared" si="6"/>
        <v>0.69314718055994529</v>
      </c>
      <c r="G19" s="25">
        <f t="shared" si="7"/>
        <v>693.14718055994524</v>
      </c>
      <c r="H19" s="26">
        <f t="shared" si="8"/>
        <v>0.69314718055994529</v>
      </c>
      <c r="I19" s="27">
        <f t="shared" si="9"/>
        <v>40431.305573723817</v>
      </c>
      <c r="J19" s="28">
        <f t="shared" si="9"/>
        <v>40431.305573723817</v>
      </c>
      <c r="K19" s="20" t="str">
        <f t="shared" si="10"/>
        <v>Fri</v>
      </c>
      <c r="L19" s="29">
        <f t="shared" si="11"/>
        <v>2.8881132523331052E-2</v>
      </c>
      <c r="M19" s="20" t="s">
        <v>31</v>
      </c>
    </row>
    <row r="20" spans="1:13" x14ac:dyDescent="0.55000000000000004">
      <c r="A20" s="20" t="s">
        <v>32</v>
      </c>
      <c r="B20" s="20" t="b">
        <f xml:space="preserve"> TRUE</f>
        <v>1</v>
      </c>
      <c r="C20" s="21" t="str">
        <f t="shared" si="4"/>
        <v>Log10(5)</v>
      </c>
      <c r="D20" s="22">
        <f xml:space="preserve"> LOG(5, 10)</f>
        <v>0.69897000433601875</v>
      </c>
      <c r="E20" s="23">
        <f t="shared" si="5"/>
        <v>698.97000433601875</v>
      </c>
      <c r="F20" s="24">
        <f t="shared" si="6"/>
        <v>0.69897000433601875</v>
      </c>
      <c r="G20" s="25">
        <f t="shared" si="7"/>
        <v>698.97000433601875</v>
      </c>
      <c r="H20" s="26">
        <f t="shared" si="8"/>
        <v>0.69897000433601875</v>
      </c>
      <c r="I20" s="27">
        <f t="shared" si="9"/>
        <v>40433.425081578309</v>
      </c>
      <c r="J20" s="28">
        <f t="shared" si="9"/>
        <v>40433.425081578309</v>
      </c>
      <c r="K20" s="20" t="str">
        <f t="shared" si="10"/>
        <v>Sun</v>
      </c>
      <c r="L20" s="29">
        <f t="shared" si="11"/>
        <v>2.9123750180667447E-2</v>
      </c>
    </row>
    <row r="21" spans="1:13" x14ac:dyDescent="0.55000000000000004">
      <c r="A21" s="20" t="s">
        <v>33</v>
      </c>
      <c r="C21" s="21" t="str">
        <f t="shared" si="4"/>
        <v>sin45</v>
      </c>
      <c r="D21" s="22">
        <f xml:space="preserve"> SQRT(2)/2</f>
        <v>0.70710678118654757</v>
      </c>
      <c r="E21" s="23">
        <f t="shared" si="5"/>
        <v>707.10678118654755</v>
      </c>
      <c r="F21" s="24">
        <f t="shared" si="6"/>
        <v>0.70710678118654757</v>
      </c>
      <c r="G21" s="25">
        <f t="shared" si="7"/>
        <v>707.10678118654755</v>
      </c>
      <c r="H21" s="26">
        <f t="shared" si="8"/>
        <v>0.70710678118654757</v>
      </c>
      <c r="I21" s="27">
        <f t="shared" si="9"/>
        <v>40436.386868351903</v>
      </c>
      <c r="J21" s="28">
        <f t="shared" si="9"/>
        <v>40436.386868351903</v>
      </c>
      <c r="K21" s="20" t="str">
        <f t="shared" si="10"/>
        <v>Wed</v>
      </c>
      <c r="L21" s="29">
        <f t="shared" si="11"/>
        <v>2.946278254943948E-2</v>
      </c>
    </row>
    <row r="22" spans="1:13" x14ac:dyDescent="0.55000000000000004">
      <c r="A22" s="20" t="s">
        <v>34</v>
      </c>
      <c r="C22" s="21" t="str">
        <f t="shared" si="4"/>
        <v>PI/4</v>
      </c>
      <c r="D22" s="22">
        <f xml:space="preserve"> PI()/4</f>
        <v>0.78539816339744828</v>
      </c>
      <c r="E22" s="23">
        <f t="shared" si="5"/>
        <v>785.39816339744823</v>
      </c>
      <c r="F22" s="24">
        <f t="shared" si="6"/>
        <v>0.78539816339744828</v>
      </c>
      <c r="G22" s="25">
        <f t="shared" si="7"/>
        <v>785.39816339744823</v>
      </c>
      <c r="H22" s="26">
        <f t="shared" si="8"/>
        <v>0.78539816339744828</v>
      </c>
      <c r="I22" s="27">
        <f t="shared" si="9"/>
        <v>40464.88493147667</v>
      </c>
      <c r="J22" s="28">
        <f t="shared" si="9"/>
        <v>40464.88493147667</v>
      </c>
      <c r="K22" s="20" t="str">
        <f t="shared" si="10"/>
        <v>Wed</v>
      </c>
      <c r="L22" s="29">
        <f t="shared" si="11"/>
        <v>3.2724923474893676E-2</v>
      </c>
      <c r="M22" s="20" t="s">
        <v>35</v>
      </c>
    </row>
    <row r="23" spans="1:13" x14ac:dyDescent="0.55000000000000004">
      <c r="A23" s="20" t="s">
        <v>36</v>
      </c>
      <c r="C23" s="21" t="str">
        <f t="shared" si="4"/>
        <v>PI^(+2.0)/12</v>
      </c>
      <c r="D23" s="22">
        <f xml:space="preserve"> PI()^2/12</f>
        <v>0.8224670334241132</v>
      </c>
      <c r="E23" s="23">
        <f t="shared" si="5"/>
        <v>822.4670334241132</v>
      </c>
      <c r="F23" s="24">
        <f t="shared" si="6"/>
        <v>0.8224670334241132</v>
      </c>
      <c r="G23" s="25">
        <f t="shared" si="7"/>
        <v>822.4670334241132</v>
      </c>
      <c r="H23" s="26">
        <f t="shared" si="8"/>
        <v>0.8224670334241132</v>
      </c>
      <c r="I23" s="27">
        <f t="shared" si="9"/>
        <v>40478.378000166376</v>
      </c>
      <c r="J23" s="28">
        <f t="shared" si="9"/>
        <v>40478.378000166376</v>
      </c>
      <c r="K23" s="20" t="str">
        <f t="shared" si="10"/>
        <v>Wed</v>
      </c>
      <c r="L23" s="29">
        <f t="shared" si="11"/>
        <v>3.4269459726004717E-2</v>
      </c>
      <c r="M23" s="20" t="s">
        <v>37</v>
      </c>
    </row>
    <row r="24" spans="1:13" x14ac:dyDescent="0.55000000000000004">
      <c r="A24" s="20" t="s">
        <v>38</v>
      </c>
      <c r="B24" s="20" t="b">
        <f xml:space="preserve"> TRUE</f>
        <v>1</v>
      </c>
      <c r="C24" s="21" t="str">
        <f t="shared" si="4"/>
        <v>Log10(7)</v>
      </c>
      <c r="D24" s="22">
        <f xml:space="preserve"> LOG(7, 10)</f>
        <v>0.8450980400142567</v>
      </c>
      <c r="E24" s="23">
        <f t="shared" si="5"/>
        <v>845.09804001425675</v>
      </c>
      <c r="F24" s="24">
        <f t="shared" si="6"/>
        <v>0.8450980400142567</v>
      </c>
      <c r="G24" s="25">
        <f t="shared" si="7"/>
        <v>845.09804001425675</v>
      </c>
      <c r="H24" s="26">
        <f t="shared" si="8"/>
        <v>0.8450980400142567</v>
      </c>
      <c r="I24" s="27">
        <f t="shared" si="9"/>
        <v>40486.615686565186</v>
      </c>
      <c r="J24" s="28">
        <f t="shared" si="9"/>
        <v>40486.615686565186</v>
      </c>
      <c r="K24" s="20" t="str">
        <f t="shared" si="10"/>
        <v>Thu</v>
      </c>
      <c r="L24" s="29">
        <f t="shared" si="11"/>
        <v>3.521241833392736E-2</v>
      </c>
    </row>
    <row r="25" spans="1:13" x14ac:dyDescent="0.55000000000000004">
      <c r="A25" s="20" t="s">
        <v>39</v>
      </c>
      <c r="C25" s="21" t="str">
        <f t="shared" si="4"/>
        <v>atan_3_4</v>
      </c>
      <c r="D25" s="22">
        <f xml:space="preserve"> ATAN2(3,4)</f>
        <v>0.92729521800161219</v>
      </c>
      <c r="E25" s="23">
        <f t="shared" si="5"/>
        <v>927.29521800161217</v>
      </c>
      <c r="F25" s="24">
        <f t="shared" si="6"/>
        <v>0.92729521800161219</v>
      </c>
      <c r="G25" s="25">
        <f t="shared" si="7"/>
        <v>927.29521800161217</v>
      </c>
      <c r="H25" s="26">
        <f t="shared" si="8"/>
        <v>0.92729521800161219</v>
      </c>
      <c r="I25" s="27">
        <f t="shared" si="9"/>
        <v>40516.535459352584</v>
      </c>
      <c r="J25" s="28">
        <f t="shared" si="9"/>
        <v>40516.535459352584</v>
      </c>
      <c r="K25" s="20" t="str">
        <f t="shared" si="10"/>
        <v>Sat</v>
      </c>
      <c r="L25" s="29">
        <f t="shared" si="11"/>
        <v>3.8637300750067174E-2</v>
      </c>
    </row>
    <row r="26" spans="1:13" x14ac:dyDescent="0.55000000000000004">
      <c r="A26" s="20" t="s">
        <v>40</v>
      </c>
      <c r="B26" s="20" t="b">
        <f xml:space="preserve"> TRUE</f>
        <v>1</v>
      </c>
      <c r="C26" s="21" t="str">
        <f t="shared" si="4"/>
        <v>Log10(11)</v>
      </c>
      <c r="D26" s="22">
        <f xml:space="preserve"> LOG(11, 10)</f>
        <v>1.0413926851582249</v>
      </c>
      <c r="E26" s="23">
        <f t="shared" si="5"/>
        <v>1041.3926851582248</v>
      </c>
      <c r="F26" s="24">
        <f t="shared" si="6"/>
        <v>1.0413926851582249</v>
      </c>
      <c r="G26" s="25">
        <f t="shared" si="7"/>
        <v>1041.3926851582248</v>
      </c>
      <c r="H26" s="26">
        <f t="shared" si="8"/>
        <v>1.0413926851582249</v>
      </c>
      <c r="I26" s="27">
        <f t="shared" ref="I26:J45" si="12" xml:space="preserve"> DATE(2010, 1, 1) + $D26 * (DATE(2010, 12, 31) - DATE(2010, 1, 1))</f>
        <v>40558.066937397591</v>
      </c>
      <c r="J26" s="28">
        <f t="shared" si="12"/>
        <v>40558.066937397591</v>
      </c>
      <c r="K26" s="20" t="str">
        <f t="shared" si="10"/>
        <v>Sat</v>
      </c>
      <c r="L26" s="29">
        <f t="shared" si="11"/>
        <v>4.3391361881592705E-2</v>
      </c>
    </row>
    <row r="27" spans="1:13" x14ac:dyDescent="0.55000000000000004">
      <c r="A27" s="20" t="s">
        <v>41</v>
      </c>
      <c r="B27" s="20" t="b">
        <f xml:space="preserve"> TRUE</f>
        <v>1</v>
      </c>
      <c r="C27" s="21" t="str">
        <f t="shared" si="4"/>
        <v>Log10(13)</v>
      </c>
      <c r="D27" s="22">
        <f xml:space="preserve"> LOG(13, 10)</f>
        <v>1.1139433523068367</v>
      </c>
      <c r="E27" s="23">
        <f t="shared" si="5"/>
        <v>1113.9433523068367</v>
      </c>
      <c r="F27" s="24">
        <f t="shared" si="6"/>
        <v>1.1139433523068367</v>
      </c>
      <c r="G27" s="25">
        <f t="shared" si="7"/>
        <v>1113.9433523068367</v>
      </c>
      <c r="H27" s="26">
        <f t="shared" si="8"/>
        <v>1.1139433523068367</v>
      </c>
      <c r="I27" s="27">
        <f t="shared" si="12"/>
        <v>40584.475380239688</v>
      </c>
      <c r="J27" s="28">
        <f t="shared" si="12"/>
        <v>40584.475380239688</v>
      </c>
      <c r="K27" s="20" t="str">
        <f t="shared" si="10"/>
        <v>Thu</v>
      </c>
      <c r="L27" s="29">
        <f t="shared" si="11"/>
        <v>4.6414306346118192E-2</v>
      </c>
    </row>
    <row r="28" spans="1:13" x14ac:dyDescent="0.55000000000000004">
      <c r="A28" s="20" t="s">
        <v>42</v>
      </c>
      <c r="B28" s="20" t="b">
        <f xml:space="preserve"> TRUE</f>
        <v>1</v>
      </c>
      <c r="C28" s="21" t="str">
        <f t="shared" si="4"/>
        <v>Log10(17)</v>
      </c>
      <c r="D28" s="22">
        <f xml:space="preserve"> LOG(17, 10)</f>
        <v>1.2304489213782739</v>
      </c>
      <c r="E28" s="23">
        <f t="shared" si="5"/>
        <v>1230.4489213782738</v>
      </c>
      <c r="F28" s="24">
        <f t="shared" si="6"/>
        <v>1.2304489213782739</v>
      </c>
      <c r="G28" s="25">
        <f t="shared" si="7"/>
        <v>1230.4489213782738</v>
      </c>
      <c r="H28" s="26">
        <f t="shared" si="8"/>
        <v>1.2304489213782739</v>
      </c>
      <c r="I28" s="27">
        <f t="shared" si="12"/>
        <v>40626.883407381691</v>
      </c>
      <c r="J28" s="28">
        <f t="shared" si="12"/>
        <v>40626.883407381691</v>
      </c>
      <c r="K28" s="20" t="str">
        <f t="shared" si="10"/>
        <v>Thu</v>
      </c>
      <c r="L28" s="29">
        <f t="shared" si="11"/>
        <v>5.1268705057428074E-2</v>
      </c>
    </row>
    <row r="29" spans="1:13" x14ac:dyDescent="0.55000000000000004">
      <c r="A29" s="20" t="s">
        <v>43</v>
      </c>
      <c r="B29" s="20" t="b">
        <f xml:space="preserve"> TRUE</f>
        <v>1</v>
      </c>
      <c r="C29" s="21" t="str">
        <f t="shared" si="4"/>
        <v>Log10(19)</v>
      </c>
      <c r="D29" s="22">
        <f xml:space="preserve"> LOG(19, 10)</f>
        <v>1.2787536009528289</v>
      </c>
      <c r="E29" s="23">
        <f t="shared" si="5"/>
        <v>1278.7536009528289</v>
      </c>
      <c r="F29" s="24">
        <f t="shared" si="6"/>
        <v>1.2787536009528289</v>
      </c>
      <c r="G29" s="25">
        <f t="shared" si="7"/>
        <v>1278.7536009528289</v>
      </c>
      <c r="H29" s="26">
        <f t="shared" si="8"/>
        <v>1.2787536009528289</v>
      </c>
      <c r="I29" s="27">
        <f t="shared" si="12"/>
        <v>40644.46631074683</v>
      </c>
      <c r="J29" s="28">
        <f t="shared" si="12"/>
        <v>40644.46631074683</v>
      </c>
      <c r="K29" s="20" t="str">
        <f t="shared" si="10"/>
        <v>Mon</v>
      </c>
      <c r="L29" s="29">
        <f t="shared" si="11"/>
        <v>5.32814000397012E-2</v>
      </c>
    </row>
    <row r="30" spans="1:13" x14ac:dyDescent="0.55000000000000004">
      <c r="A30" s="20" t="s">
        <v>44</v>
      </c>
      <c r="B30" s="20" t="b">
        <f xml:space="preserve"> TRUE</f>
        <v>1</v>
      </c>
      <c r="C30" s="21" t="str">
        <f t="shared" si="4"/>
        <v>Log10(23)</v>
      </c>
      <c r="D30" s="22">
        <f xml:space="preserve"> LOG(23, 10)</f>
        <v>1.3617278360175928</v>
      </c>
      <c r="E30" s="23">
        <f t="shared" si="5"/>
        <v>1361.7278360175928</v>
      </c>
      <c r="F30" s="24">
        <f t="shared" si="6"/>
        <v>1.3617278360175928</v>
      </c>
      <c r="G30" s="25">
        <f t="shared" si="7"/>
        <v>1361.7278360175928</v>
      </c>
      <c r="H30" s="26">
        <f t="shared" si="8"/>
        <v>1.3617278360175928</v>
      </c>
      <c r="I30" s="27">
        <f t="shared" si="12"/>
        <v>40674.668932310407</v>
      </c>
      <c r="J30" s="28">
        <f t="shared" si="12"/>
        <v>40674.668932310407</v>
      </c>
      <c r="K30" s="20" t="str">
        <f t="shared" si="10"/>
        <v>Wed</v>
      </c>
      <c r="L30" s="29">
        <f t="shared" si="11"/>
        <v>5.6738659834066368E-2</v>
      </c>
    </row>
    <row r="31" spans="1:13" x14ac:dyDescent="0.55000000000000004">
      <c r="A31" s="20" t="s">
        <v>45</v>
      </c>
      <c r="C31" s="21" t="str">
        <f t="shared" si="4"/>
        <v>2^(+0.5)</v>
      </c>
      <c r="D31" s="22">
        <f xml:space="preserve"> SQRT(2)</f>
        <v>1.4142135623730951</v>
      </c>
      <c r="E31" s="23">
        <f t="shared" si="5"/>
        <v>1414.2135623730951</v>
      </c>
      <c r="F31" s="24">
        <f t="shared" si="6"/>
        <v>1.4142135623730951</v>
      </c>
      <c r="G31" s="25">
        <f t="shared" si="7"/>
        <v>1414.2135623730951</v>
      </c>
      <c r="H31" s="26">
        <f t="shared" si="8"/>
        <v>1.4142135623730951</v>
      </c>
      <c r="I31" s="27">
        <f t="shared" si="12"/>
        <v>40693.773736703806</v>
      </c>
      <c r="J31" s="28">
        <f t="shared" si="12"/>
        <v>40693.773736703806</v>
      </c>
      <c r="K31" s="20" t="str">
        <f t="shared" si="10"/>
        <v>Mon</v>
      </c>
      <c r="L31" s="29">
        <f t="shared" si="11"/>
        <v>5.892556509887896E-2</v>
      </c>
    </row>
    <row r="32" spans="1:13" x14ac:dyDescent="0.55000000000000004">
      <c r="A32" s="20" t="s">
        <v>46</v>
      </c>
      <c r="B32" s="20" t="b">
        <f xml:space="preserve"> TRUE</f>
        <v>1</v>
      </c>
      <c r="C32" s="21" t="str">
        <f t="shared" si="4"/>
        <v>Log10(29)</v>
      </c>
      <c r="D32" s="22">
        <f xml:space="preserve"> LOG(29, 10)</f>
        <v>1.4623979978989561</v>
      </c>
      <c r="E32" s="23">
        <f t="shared" si="5"/>
        <v>1462.3979978989562</v>
      </c>
      <c r="F32" s="24">
        <f t="shared" si="6"/>
        <v>1.4623979978989561</v>
      </c>
      <c r="G32" s="25">
        <f t="shared" si="7"/>
        <v>1462.3979978989562</v>
      </c>
      <c r="H32" s="26">
        <f t="shared" si="8"/>
        <v>1.4623979978989561</v>
      </c>
      <c r="I32" s="27">
        <f t="shared" si="12"/>
        <v>40711.312871235219</v>
      </c>
      <c r="J32" s="28">
        <f t="shared" si="12"/>
        <v>40711.312871235219</v>
      </c>
      <c r="K32" s="20" t="str">
        <f t="shared" si="10"/>
        <v>Fri</v>
      </c>
      <c r="L32" s="29">
        <f t="shared" si="11"/>
        <v>6.0933249912456501E-2</v>
      </c>
    </row>
    <row r="33" spans="1:13" x14ac:dyDescent="0.55000000000000004">
      <c r="A33" s="20" t="s">
        <v>47</v>
      </c>
      <c r="B33" s="20" t="b">
        <f xml:space="preserve"> TRUE</f>
        <v>1</v>
      </c>
      <c r="C33" s="21" t="str">
        <f t="shared" si="4"/>
        <v>Log10(31)</v>
      </c>
      <c r="D33" s="22">
        <f xml:space="preserve"> LOG(31, 10)</f>
        <v>1.4913616938342726</v>
      </c>
      <c r="E33" s="23">
        <f t="shared" si="5"/>
        <v>1491.3616938342727</v>
      </c>
      <c r="F33" s="24">
        <f t="shared" si="6"/>
        <v>1.4913616938342726</v>
      </c>
      <c r="G33" s="25">
        <f t="shared" si="7"/>
        <v>1491.3616938342727</v>
      </c>
      <c r="H33" s="26">
        <f t="shared" si="8"/>
        <v>1.4913616938342726</v>
      </c>
      <c r="I33" s="27">
        <f t="shared" si="12"/>
        <v>40721.855656555672</v>
      </c>
      <c r="J33" s="28">
        <f t="shared" si="12"/>
        <v>40721.855656555672</v>
      </c>
      <c r="K33" s="20" t="str">
        <f t="shared" si="10"/>
        <v>Mon</v>
      </c>
      <c r="L33" s="29">
        <f t="shared" si="11"/>
        <v>6.2140070576428022E-2</v>
      </c>
    </row>
    <row r="34" spans="1:13" x14ac:dyDescent="0.55000000000000004">
      <c r="A34" s="20" t="s">
        <v>48</v>
      </c>
      <c r="B34" s="20" t="b">
        <f xml:space="preserve"> TRUE</f>
        <v>1</v>
      </c>
      <c r="C34" s="21" t="str">
        <f t="shared" si="4"/>
        <v>Log10(37)</v>
      </c>
      <c r="D34" s="22">
        <f xml:space="preserve"> LOG(37, 10)</f>
        <v>1.5682017240669948</v>
      </c>
      <c r="E34" s="23">
        <f t="shared" si="5"/>
        <v>1568.2017240669948</v>
      </c>
      <c r="F34" s="24">
        <f t="shared" si="6"/>
        <v>1.5682017240669948</v>
      </c>
      <c r="G34" s="25">
        <f t="shared" si="7"/>
        <v>1568.2017240669948</v>
      </c>
      <c r="H34" s="26">
        <f t="shared" si="8"/>
        <v>1.5682017240669948</v>
      </c>
      <c r="I34" s="27">
        <f t="shared" si="12"/>
        <v>40749.825427560383</v>
      </c>
      <c r="J34" s="28">
        <f t="shared" si="12"/>
        <v>40749.825427560383</v>
      </c>
      <c r="K34" s="20" t="str">
        <f t="shared" si="10"/>
        <v>Mon</v>
      </c>
      <c r="L34" s="29">
        <f t="shared" si="11"/>
        <v>6.5341738502791444E-2</v>
      </c>
    </row>
    <row r="35" spans="1:13" x14ac:dyDescent="0.55000000000000004">
      <c r="A35" s="20" t="s">
        <v>49</v>
      </c>
      <c r="B35" s="20" t="b">
        <f xml:space="preserve"> TRUE</f>
        <v>1</v>
      </c>
      <c r="C35" s="21" t="str">
        <f t="shared" si="4"/>
        <v>Log10(41)</v>
      </c>
      <c r="D35" s="22">
        <f xml:space="preserve"> LOG(41, 10)</f>
        <v>1.6127838567197355</v>
      </c>
      <c r="E35" s="23">
        <f t="shared" si="5"/>
        <v>1612.7838567197355</v>
      </c>
      <c r="F35" s="24">
        <f t="shared" si="6"/>
        <v>1.6127838567197355</v>
      </c>
      <c r="G35" s="25">
        <f t="shared" si="7"/>
        <v>1612.7838567197355</v>
      </c>
      <c r="H35" s="26">
        <f t="shared" si="8"/>
        <v>1.6127838567197355</v>
      </c>
      <c r="I35" s="27">
        <f t="shared" si="12"/>
        <v>40766.053323845983</v>
      </c>
      <c r="J35" s="28">
        <f t="shared" si="12"/>
        <v>40766.053323845983</v>
      </c>
      <c r="K35" s="20" t="str">
        <f t="shared" si="10"/>
        <v>Thu</v>
      </c>
      <c r="L35" s="29">
        <f t="shared" si="11"/>
        <v>6.7199327363322306E-2</v>
      </c>
    </row>
    <row r="36" spans="1:13" x14ac:dyDescent="0.55000000000000004">
      <c r="A36" s="20" t="s">
        <v>50</v>
      </c>
      <c r="C36" s="21" t="str">
        <f t="shared" si="4"/>
        <v>phi</v>
      </c>
      <c r="D36" s="22">
        <f xml:space="preserve"> (1 + SQRT(5))/2</f>
        <v>1.6180339887498949</v>
      </c>
      <c r="E36" s="23">
        <f t="shared" si="5"/>
        <v>1618.0339887498949</v>
      </c>
      <c r="F36" s="24">
        <f t="shared" si="6"/>
        <v>1.6180339887498949</v>
      </c>
      <c r="G36" s="25">
        <f t="shared" si="7"/>
        <v>1618.0339887498949</v>
      </c>
      <c r="H36" s="26">
        <f t="shared" si="8"/>
        <v>1.6180339887498949</v>
      </c>
      <c r="I36" s="27">
        <f t="shared" si="12"/>
        <v>40767.964371904964</v>
      </c>
      <c r="J36" s="28">
        <f t="shared" si="12"/>
        <v>40767.964371904964</v>
      </c>
      <c r="K36" s="20" t="str">
        <f t="shared" si="10"/>
        <v>Fri</v>
      </c>
      <c r="L36" s="29">
        <f t="shared" si="11"/>
        <v>6.7418082864578954E-2</v>
      </c>
      <c r="M36" s="20" t="s">
        <v>51</v>
      </c>
    </row>
    <row r="37" spans="1:13" x14ac:dyDescent="0.55000000000000004">
      <c r="A37" s="20" t="s">
        <v>52</v>
      </c>
      <c r="B37" s="20" t="b">
        <f xml:space="preserve"> TRUE</f>
        <v>1</v>
      </c>
      <c r="C37" s="21" t="str">
        <f t="shared" si="4"/>
        <v>Log10(43)</v>
      </c>
      <c r="D37" s="22">
        <f xml:space="preserve"> LOG(43, 10)</f>
        <v>1.6334684555795864</v>
      </c>
      <c r="E37" s="23">
        <f t="shared" si="5"/>
        <v>1633.4684555795864</v>
      </c>
      <c r="F37" s="24">
        <f t="shared" si="6"/>
        <v>1.6334684555795864</v>
      </c>
      <c r="G37" s="25">
        <f t="shared" si="7"/>
        <v>1633.4684555795864</v>
      </c>
      <c r="H37" s="26">
        <f t="shared" si="8"/>
        <v>1.6334684555795864</v>
      </c>
      <c r="I37" s="27">
        <f t="shared" si="12"/>
        <v>40773.582517830968</v>
      </c>
      <c r="J37" s="28">
        <f t="shared" si="12"/>
        <v>40773.582517830968</v>
      </c>
      <c r="K37" s="20" t="str">
        <f t="shared" si="10"/>
        <v>Thu</v>
      </c>
      <c r="L37" s="29">
        <f t="shared" si="11"/>
        <v>6.8061185649149425E-2</v>
      </c>
    </row>
    <row r="38" spans="1:13" x14ac:dyDescent="0.55000000000000004">
      <c r="A38" s="20" t="s">
        <v>53</v>
      </c>
      <c r="C38" s="21" t="str">
        <f t="shared" si="4"/>
        <v>PI^(+2.0)/6</v>
      </c>
      <c r="D38" s="22">
        <f xml:space="preserve"> PI()^2/6</f>
        <v>1.6449340668482264</v>
      </c>
      <c r="E38" s="23">
        <f t="shared" si="5"/>
        <v>1644.9340668482264</v>
      </c>
      <c r="F38" s="24">
        <f t="shared" si="6"/>
        <v>1.6449340668482264</v>
      </c>
      <c r="G38" s="25">
        <f t="shared" si="7"/>
        <v>1644.9340668482264</v>
      </c>
      <c r="H38" s="26">
        <f t="shared" si="8"/>
        <v>1.6449340668482264</v>
      </c>
      <c r="I38" s="27">
        <f t="shared" si="12"/>
        <v>40777.756000332753</v>
      </c>
      <c r="J38" s="28">
        <f t="shared" si="12"/>
        <v>40777.756000332753</v>
      </c>
      <c r="K38" s="20" t="str">
        <f t="shared" si="10"/>
        <v>Mon</v>
      </c>
      <c r="L38" s="29">
        <f t="shared" si="11"/>
        <v>6.8538919452009434E-2</v>
      </c>
      <c r="M38" s="20" t="s">
        <v>54</v>
      </c>
    </row>
    <row r="39" spans="1:13" x14ac:dyDescent="0.55000000000000004">
      <c r="A39" s="20" t="s">
        <v>55</v>
      </c>
      <c r="B39" s="20" t="b">
        <f xml:space="preserve"> TRUE</f>
        <v>1</v>
      </c>
      <c r="C39" s="21" t="str">
        <f t="shared" si="4"/>
        <v>Log10(47)</v>
      </c>
      <c r="D39" s="22">
        <f xml:space="preserve"> LOG(47, 10)</f>
        <v>1.6720978579357173</v>
      </c>
      <c r="E39" s="23">
        <f t="shared" si="5"/>
        <v>1672.0978579357172</v>
      </c>
      <c r="F39" s="24">
        <f t="shared" si="6"/>
        <v>1.6720978579357173</v>
      </c>
      <c r="G39" s="25">
        <f t="shared" si="7"/>
        <v>1672.0978579357172</v>
      </c>
      <c r="H39" s="26">
        <f t="shared" si="8"/>
        <v>1.6720978579357173</v>
      </c>
      <c r="I39" s="27">
        <f t="shared" si="12"/>
        <v>40787.643620288603</v>
      </c>
      <c r="J39" s="28">
        <f t="shared" si="12"/>
        <v>40787.643620288603</v>
      </c>
      <c r="K39" s="20" t="str">
        <f t="shared" si="10"/>
        <v>Thu</v>
      </c>
      <c r="L39" s="29">
        <f t="shared" si="11"/>
        <v>6.9670744080654878E-2</v>
      </c>
    </row>
    <row r="40" spans="1:13" x14ac:dyDescent="0.55000000000000004">
      <c r="A40" s="20" t="s">
        <v>56</v>
      </c>
      <c r="B40" s="20" t="b">
        <f xml:space="preserve"> TRUE</f>
        <v>1</v>
      </c>
      <c r="C40" s="21" t="str">
        <f t="shared" si="4"/>
        <v>Log10(53)</v>
      </c>
      <c r="D40" s="22">
        <f xml:space="preserve"> LOG(53, 10)</f>
        <v>1.7242758696007889</v>
      </c>
      <c r="E40" s="23">
        <f t="shared" si="5"/>
        <v>1724.2758696007888</v>
      </c>
      <c r="F40" s="24">
        <f t="shared" si="6"/>
        <v>1.7242758696007889</v>
      </c>
      <c r="G40" s="25">
        <f t="shared" si="7"/>
        <v>1724.2758696007888</v>
      </c>
      <c r="H40" s="26">
        <f t="shared" si="8"/>
        <v>1.7242758696007889</v>
      </c>
      <c r="I40" s="27">
        <f t="shared" si="12"/>
        <v>40806.636416534689</v>
      </c>
      <c r="J40" s="28">
        <f t="shared" si="12"/>
        <v>40806.636416534689</v>
      </c>
      <c r="K40" s="20" t="str">
        <f t="shared" si="10"/>
        <v>Tue</v>
      </c>
      <c r="L40" s="29">
        <f t="shared" si="11"/>
        <v>7.1844827900032868E-2</v>
      </c>
    </row>
    <row r="41" spans="1:13" x14ac:dyDescent="0.55000000000000004">
      <c r="A41" s="20" t="s">
        <v>57</v>
      </c>
      <c r="C41" s="21" t="str">
        <f t="shared" si="4"/>
        <v>3^(+0.5)</v>
      </c>
      <c r="D41" s="22">
        <f xml:space="preserve"> SQRT(3)</f>
        <v>1.7320508075688772</v>
      </c>
      <c r="E41" s="23">
        <f t="shared" si="5"/>
        <v>1732.0508075688772</v>
      </c>
      <c r="F41" s="24">
        <f t="shared" si="6"/>
        <v>1.7320508075688772</v>
      </c>
      <c r="G41" s="25">
        <f t="shared" si="7"/>
        <v>1732.0508075688772</v>
      </c>
      <c r="H41" s="26">
        <f t="shared" si="8"/>
        <v>1.7320508075688772</v>
      </c>
      <c r="I41" s="27">
        <f t="shared" si="12"/>
        <v>40809.466493955071</v>
      </c>
      <c r="J41" s="28">
        <f t="shared" si="12"/>
        <v>40809.466493955071</v>
      </c>
      <c r="K41" s="20" t="str">
        <f t="shared" si="10"/>
        <v>Fri</v>
      </c>
      <c r="L41" s="29">
        <f t="shared" si="11"/>
        <v>7.2168783648703216E-2</v>
      </c>
    </row>
    <row r="42" spans="1:13" x14ac:dyDescent="0.55000000000000004">
      <c r="A42" s="20" t="s">
        <v>58</v>
      </c>
      <c r="B42" s="20" t="b">
        <f xml:space="preserve"> TRUE</f>
        <v>1</v>
      </c>
      <c r="C42" s="21" t="str">
        <f t="shared" si="4"/>
        <v>Log10(59)</v>
      </c>
      <c r="D42" s="22">
        <f xml:space="preserve"> LOG(59, 10)</f>
        <v>1.7708520116421442</v>
      </c>
      <c r="E42" s="23">
        <f t="shared" si="5"/>
        <v>1770.8520116421441</v>
      </c>
      <c r="F42" s="24">
        <f t="shared" si="6"/>
        <v>1.7708520116421442</v>
      </c>
      <c r="G42" s="25">
        <f t="shared" si="7"/>
        <v>1770.8520116421441</v>
      </c>
      <c r="H42" s="26">
        <f t="shared" si="8"/>
        <v>1.7708520116421442</v>
      </c>
      <c r="I42" s="27">
        <f t="shared" si="12"/>
        <v>40823.590132237739</v>
      </c>
      <c r="J42" s="28">
        <f t="shared" si="12"/>
        <v>40823.590132237739</v>
      </c>
      <c r="K42" s="20" t="str">
        <f t="shared" si="10"/>
        <v>Fri</v>
      </c>
      <c r="L42" s="29">
        <f t="shared" si="11"/>
        <v>7.3785500485089334E-2</v>
      </c>
    </row>
    <row r="43" spans="1:13" x14ac:dyDescent="0.55000000000000004">
      <c r="A43" s="20" t="s">
        <v>59</v>
      </c>
      <c r="C43" s="21" t="str">
        <f t="shared" si="4"/>
        <v>PI^(+0.5)</v>
      </c>
      <c r="D43" s="22">
        <f xml:space="preserve"> SQRT( PI() )</f>
        <v>1.7724538509055159</v>
      </c>
      <c r="E43" s="23">
        <f t="shared" si="5"/>
        <v>1772.453850905516</v>
      </c>
      <c r="F43" s="24">
        <f t="shared" si="6"/>
        <v>1.7724538509055159</v>
      </c>
      <c r="G43" s="25">
        <f t="shared" si="7"/>
        <v>1772.453850905516</v>
      </c>
      <c r="H43" s="26">
        <f t="shared" si="8"/>
        <v>1.7724538509055159</v>
      </c>
      <c r="I43" s="27">
        <f t="shared" si="12"/>
        <v>40824.173201729609</v>
      </c>
      <c r="J43" s="28">
        <f t="shared" si="12"/>
        <v>40824.173201729609</v>
      </c>
      <c r="K43" s="20" t="str">
        <f t="shared" si="10"/>
        <v>Sat</v>
      </c>
      <c r="L43" s="29">
        <f t="shared" si="11"/>
        <v>7.3852243787729824E-2</v>
      </c>
    </row>
    <row r="44" spans="1:13" x14ac:dyDescent="0.55000000000000004">
      <c r="A44" s="20" t="s">
        <v>60</v>
      </c>
      <c r="B44" s="20" t="b">
        <f t="shared" ref="B44:B51" si="13" xml:space="preserve"> TRUE</f>
        <v>1</v>
      </c>
      <c r="C44" s="21" t="str">
        <f t="shared" si="4"/>
        <v>Log10(61)</v>
      </c>
      <c r="D44" s="22">
        <f xml:space="preserve"> LOG(61, 10)</f>
        <v>1.7853298350107669</v>
      </c>
      <c r="E44" s="23">
        <f t="shared" si="5"/>
        <v>1785.3298350107668</v>
      </c>
      <c r="F44" s="24">
        <f t="shared" si="6"/>
        <v>1.7853298350107669</v>
      </c>
      <c r="G44" s="25">
        <f t="shared" si="7"/>
        <v>1785.3298350107668</v>
      </c>
      <c r="H44" s="26">
        <f t="shared" si="8"/>
        <v>1.7853298350107669</v>
      </c>
      <c r="I44" s="27">
        <f t="shared" si="12"/>
        <v>40828.860059943916</v>
      </c>
      <c r="J44" s="28">
        <f t="shared" si="12"/>
        <v>40828.860059943916</v>
      </c>
      <c r="K44" s="20" t="str">
        <f t="shared" si="10"/>
        <v>Wed</v>
      </c>
      <c r="L44" s="29">
        <f t="shared" si="11"/>
        <v>7.4388743125448617E-2</v>
      </c>
    </row>
    <row r="45" spans="1:13" x14ac:dyDescent="0.55000000000000004">
      <c r="A45" s="20" t="s">
        <v>61</v>
      </c>
      <c r="B45" s="20" t="b">
        <f t="shared" si="13"/>
        <v>1</v>
      </c>
      <c r="C45" s="21" t="str">
        <f t="shared" si="4"/>
        <v>Log10(67)</v>
      </c>
      <c r="D45" s="22">
        <f xml:space="preserve"> LOG(67, 10)</f>
        <v>1.8260748027008262</v>
      </c>
      <c r="E45" s="23">
        <f t="shared" si="5"/>
        <v>1826.0748027008262</v>
      </c>
      <c r="F45" s="24">
        <f t="shared" si="6"/>
        <v>1.8260748027008262</v>
      </c>
      <c r="G45" s="25">
        <f t="shared" si="7"/>
        <v>1826.0748027008262</v>
      </c>
      <c r="H45" s="26">
        <f t="shared" si="8"/>
        <v>1.8260748027008262</v>
      </c>
      <c r="I45" s="27">
        <f t="shared" si="12"/>
        <v>40843.691228183103</v>
      </c>
      <c r="J45" s="28">
        <f t="shared" si="12"/>
        <v>40843.691228183103</v>
      </c>
      <c r="K45" s="20" t="str">
        <f t="shared" si="10"/>
        <v>Thu</v>
      </c>
      <c r="L45" s="29">
        <f t="shared" si="11"/>
        <v>7.6086450112534426E-2</v>
      </c>
    </row>
    <row r="46" spans="1:13" x14ac:dyDescent="0.55000000000000004">
      <c r="A46" s="20" t="s">
        <v>62</v>
      </c>
      <c r="B46" s="20" t="b">
        <f t="shared" si="13"/>
        <v>1</v>
      </c>
      <c r="C46" s="21" t="str">
        <f t="shared" si="4"/>
        <v>Log10(71)</v>
      </c>
      <c r="D46" s="22">
        <f xml:space="preserve"> LOG(71, 10)</f>
        <v>1.851258348719075</v>
      </c>
      <c r="E46" s="23">
        <f t="shared" si="5"/>
        <v>1851.258348719075</v>
      </c>
      <c r="F46" s="24">
        <f t="shared" si="6"/>
        <v>1.851258348719075</v>
      </c>
      <c r="G46" s="25">
        <f t="shared" si="7"/>
        <v>1851.258348719075</v>
      </c>
      <c r="H46" s="26">
        <f t="shared" si="8"/>
        <v>1.851258348719075</v>
      </c>
      <c r="I46" s="27">
        <f t="shared" ref="I46:J60" si="14" xml:space="preserve"> DATE(2010, 1, 1) + $D46 * (DATE(2010, 12, 31) - DATE(2010, 1, 1))</f>
        <v>40852.858038933744</v>
      </c>
      <c r="J46" s="28">
        <f t="shared" si="14"/>
        <v>40852.858038933744</v>
      </c>
      <c r="K46" s="20" t="str">
        <f t="shared" si="10"/>
        <v>Sat</v>
      </c>
      <c r="L46" s="29">
        <f t="shared" si="11"/>
        <v>7.7135764529961459E-2</v>
      </c>
    </row>
    <row r="47" spans="1:13" x14ac:dyDescent="0.55000000000000004">
      <c r="A47" s="20" t="s">
        <v>63</v>
      </c>
      <c r="B47" s="20" t="b">
        <f t="shared" si="13"/>
        <v>1</v>
      </c>
      <c r="C47" s="21" t="str">
        <f t="shared" si="4"/>
        <v>Log10(73)</v>
      </c>
      <c r="D47" s="22">
        <f xml:space="preserve"> LOG(73, 10)</f>
        <v>1.8633228601204557</v>
      </c>
      <c r="E47" s="23">
        <f t="shared" si="5"/>
        <v>1863.3228601204557</v>
      </c>
      <c r="F47" s="24">
        <f t="shared" si="6"/>
        <v>1.8633228601204557</v>
      </c>
      <c r="G47" s="25">
        <f t="shared" si="7"/>
        <v>1863.3228601204557</v>
      </c>
      <c r="H47" s="26">
        <f t="shared" si="8"/>
        <v>1.8633228601204557</v>
      </c>
      <c r="I47" s="27">
        <f t="shared" si="14"/>
        <v>40857.249521083846</v>
      </c>
      <c r="J47" s="28">
        <f t="shared" si="14"/>
        <v>40857.249521083846</v>
      </c>
      <c r="K47" s="20" t="str">
        <f t="shared" si="10"/>
        <v>Thu</v>
      </c>
      <c r="L47" s="29">
        <f t="shared" si="11"/>
        <v>7.7638452505018982E-2</v>
      </c>
    </row>
    <row r="48" spans="1:13" x14ac:dyDescent="0.55000000000000004">
      <c r="A48" s="20" t="s">
        <v>64</v>
      </c>
      <c r="B48" s="20" t="b">
        <f t="shared" si="13"/>
        <v>1</v>
      </c>
      <c r="C48" s="21" t="str">
        <f t="shared" si="4"/>
        <v>Log10(79)</v>
      </c>
      <c r="D48" s="22">
        <f xml:space="preserve"> LOG(79, 10)</f>
        <v>1.8976270912904412</v>
      </c>
      <c r="E48" s="23">
        <f t="shared" si="5"/>
        <v>1897.6270912904411</v>
      </c>
      <c r="F48" s="24">
        <f t="shared" si="6"/>
        <v>1.8976270912904412</v>
      </c>
      <c r="G48" s="25">
        <f t="shared" si="7"/>
        <v>1897.6270912904411</v>
      </c>
      <c r="H48" s="26">
        <f t="shared" si="8"/>
        <v>1.8976270912904412</v>
      </c>
      <c r="I48" s="27">
        <f t="shared" si="14"/>
        <v>40869.736261229722</v>
      </c>
      <c r="J48" s="28">
        <f t="shared" si="14"/>
        <v>40869.736261229722</v>
      </c>
      <c r="K48" s="20" t="str">
        <f t="shared" si="10"/>
        <v>Tue</v>
      </c>
      <c r="L48" s="29">
        <f t="shared" si="11"/>
        <v>7.9067795470435048E-2</v>
      </c>
    </row>
    <row r="49" spans="1:12" x14ac:dyDescent="0.55000000000000004">
      <c r="A49" s="20" t="s">
        <v>65</v>
      </c>
      <c r="B49" s="20" t="b">
        <f t="shared" si="13"/>
        <v>1</v>
      </c>
      <c r="C49" s="21" t="str">
        <f t="shared" si="4"/>
        <v>Log10(83)</v>
      </c>
      <c r="D49" s="22">
        <f xml:space="preserve"> LOG(83, 10)</f>
        <v>1.919078092376074</v>
      </c>
      <c r="E49" s="23">
        <f t="shared" si="5"/>
        <v>1919.078092376074</v>
      </c>
      <c r="F49" s="24">
        <f t="shared" si="6"/>
        <v>1.919078092376074</v>
      </c>
      <c r="G49" s="25">
        <f t="shared" si="7"/>
        <v>1919.078092376074</v>
      </c>
      <c r="H49" s="26">
        <f t="shared" si="8"/>
        <v>1.919078092376074</v>
      </c>
      <c r="I49" s="27">
        <f t="shared" si="14"/>
        <v>40877.544425624888</v>
      </c>
      <c r="J49" s="28">
        <f t="shared" si="14"/>
        <v>40877.544425624888</v>
      </c>
      <c r="K49" s="20" t="str">
        <f t="shared" si="10"/>
        <v>Wed</v>
      </c>
      <c r="L49" s="29">
        <f t="shared" si="11"/>
        <v>7.996158718233641E-2</v>
      </c>
    </row>
    <row r="50" spans="1:12" x14ac:dyDescent="0.55000000000000004">
      <c r="A50" s="20" t="s">
        <v>66</v>
      </c>
      <c r="B50" s="20" t="b">
        <f t="shared" si="13"/>
        <v>1</v>
      </c>
      <c r="C50" s="21" t="str">
        <f t="shared" si="4"/>
        <v>Log10(89)</v>
      </c>
      <c r="D50" s="22">
        <f xml:space="preserve"> LOG(89, 10)</f>
        <v>1.9493900066449126</v>
      </c>
      <c r="E50" s="23">
        <f t="shared" si="5"/>
        <v>1949.3900066449125</v>
      </c>
      <c r="F50" s="24">
        <f t="shared" si="6"/>
        <v>1.9493900066449126</v>
      </c>
      <c r="G50" s="25">
        <f t="shared" si="7"/>
        <v>1949.3900066449125</v>
      </c>
      <c r="H50" s="26">
        <f t="shared" si="8"/>
        <v>1.9493900066449126</v>
      </c>
      <c r="I50" s="27">
        <f t="shared" si="14"/>
        <v>40888.577962418749</v>
      </c>
      <c r="J50" s="28">
        <f t="shared" si="14"/>
        <v>40888.577962418749</v>
      </c>
      <c r="K50" s="20" t="str">
        <f t="shared" si="10"/>
        <v>Sun</v>
      </c>
      <c r="L50" s="29">
        <f t="shared" si="11"/>
        <v>8.1224583610204681E-2</v>
      </c>
    </row>
    <row r="51" spans="1:12" x14ac:dyDescent="0.55000000000000004">
      <c r="A51" s="20" t="s">
        <v>67</v>
      </c>
      <c r="B51" s="20" t="b">
        <f t="shared" si="13"/>
        <v>1</v>
      </c>
      <c r="C51" s="21" t="str">
        <f t="shared" si="4"/>
        <v>Log10(97)</v>
      </c>
      <c r="D51" s="22">
        <f xml:space="preserve"> LOG(97, 10)</f>
        <v>1.9867717342662448</v>
      </c>
      <c r="E51" s="23">
        <f t="shared" si="5"/>
        <v>1986.7717342662447</v>
      </c>
      <c r="F51" s="24">
        <f t="shared" si="6"/>
        <v>1.9867717342662448</v>
      </c>
      <c r="G51" s="25">
        <f t="shared" si="7"/>
        <v>1986.7717342662447</v>
      </c>
      <c r="H51" s="26">
        <f t="shared" si="8"/>
        <v>1.9867717342662448</v>
      </c>
      <c r="I51" s="27">
        <f t="shared" si="14"/>
        <v>40902.184911272911</v>
      </c>
      <c r="J51" s="28">
        <f t="shared" si="14"/>
        <v>40902.184911272911</v>
      </c>
      <c r="K51" s="20" t="str">
        <f t="shared" si="10"/>
        <v>Sun</v>
      </c>
      <c r="L51" s="29">
        <f t="shared" si="11"/>
        <v>8.2782155594426865E-2</v>
      </c>
    </row>
    <row r="52" spans="1:12" x14ac:dyDescent="0.55000000000000004">
      <c r="A52" s="20" t="s">
        <v>68</v>
      </c>
      <c r="C52" s="21" t="str">
        <f t="shared" si="4"/>
        <v>ln(10)</v>
      </c>
      <c r="D52" s="22">
        <f xml:space="preserve"> LN(10)</f>
        <v>2.3025850929940459</v>
      </c>
      <c r="E52" s="23">
        <f t="shared" si="5"/>
        <v>2302.5850929940457</v>
      </c>
      <c r="F52" s="24">
        <f t="shared" si="6"/>
        <v>2.3025850929940459</v>
      </c>
      <c r="G52" s="25">
        <f t="shared" si="7"/>
        <v>2302.5850929940457</v>
      </c>
      <c r="H52" s="26">
        <f t="shared" si="8"/>
        <v>2.3025850929940459</v>
      </c>
      <c r="I52" s="27">
        <f t="shared" si="14"/>
        <v>41017.140973849833</v>
      </c>
      <c r="J52" s="28">
        <f t="shared" si="14"/>
        <v>41017.140973849833</v>
      </c>
      <c r="K52" s="20" t="str">
        <f t="shared" si="10"/>
        <v>Wed</v>
      </c>
      <c r="L52" s="29">
        <f t="shared" si="11"/>
        <v>9.5941045541418579E-2</v>
      </c>
    </row>
    <row r="53" spans="1:12" x14ac:dyDescent="0.55000000000000004">
      <c r="A53" s="20" t="s">
        <v>69</v>
      </c>
      <c r="C53" s="21" t="str">
        <f t="shared" si="4"/>
        <v>TwoPi^(+0.5)</v>
      </c>
      <c r="D53" s="22">
        <f xml:space="preserve"> SQRT( 2 * PI() )</f>
        <v>2.5066282746310002</v>
      </c>
      <c r="E53" s="23">
        <f t="shared" si="5"/>
        <v>2506.6282746310003</v>
      </c>
      <c r="F53" s="24">
        <f t="shared" si="6"/>
        <v>2.5066282746310002</v>
      </c>
      <c r="G53" s="25">
        <f t="shared" si="7"/>
        <v>2506.6282746310003</v>
      </c>
      <c r="H53" s="26">
        <f t="shared" si="8"/>
        <v>2.5066282746310002</v>
      </c>
      <c r="I53" s="27">
        <f t="shared" si="14"/>
        <v>41091.412691965685</v>
      </c>
      <c r="J53" s="28">
        <f t="shared" si="14"/>
        <v>41091.412691965685</v>
      </c>
      <c r="K53" s="20" t="str">
        <f t="shared" si="10"/>
        <v>Sun</v>
      </c>
      <c r="L53" s="29">
        <f t="shared" si="11"/>
        <v>0.10444284477629168</v>
      </c>
    </row>
    <row r="54" spans="1:12" x14ac:dyDescent="0.55000000000000004">
      <c r="A54" s="20" t="s">
        <v>70</v>
      </c>
      <c r="C54" s="21" t="str">
        <f t="shared" si="4"/>
        <v>exp(+1)</v>
      </c>
      <c r="D54" s="22">
        <f xml:space="preserve"> EXP(1)</f>
        <v>2.7182818284590451</v>
      </c>
      <c r="E54" s="23">
        <f t="shared" si="5"/>
        <v>2718.2818284590453</v>
      </c>
      <c r="F54" s="24">
        <f t="shared" si="6"/>
        <v>2.7182818284590451</v>
      </c>
      <c r="G54" s="25">
        <f t="shared" si="7"/>
        <v>2718.2818284590453</v>
      </c>
      <c r="H54" s="26">
        <f t="shared" si="8"/>
        <v>2.7182818284590451</v>
      </c>
      <c r="I54" s="27">
        <f t="shared" si="14"/>
        <v>41168.454585559091</v>
      </c>
      <c r="J54" s="28">
        <f t="shared" si="14"/>
        <v>41168.454585559091</v>
      </c>
      <c r="K54" s="20" t="str">
        <f t="shared" si="10"/>
        <v>Sun</v>
      </c>
      <c r="L54" s="29">
        <f t="shared" si="11"/>
        <v>0.11326174285246021</v>
      </c>
    </row>
    <row r="55" spans="1:12" x14ac:dyDescent="0.55000000000000004">
      <c r="A55" s="20" t="s">
        <v>71</v>
      </c>
      <c r="C55" s="21" t="str">
        <f t="shared" si="4"/>
        <v>PI</v>
      </c>
      <c r="D55" s="22">
        <f xml:space="preserve"> PI()</f>
        <v>3.1415926535897931</v>
      </c>
      <c r="E55" s="23">
        <f t="shared" si="5"/>
        <v>3141.5926535897929</v>
      </c>
      <c r="F55" s="24">
        <f t="shared" si="6"/>
        <v>3.1415926535897931</v>
      </c>
      <c r="G55" s="25">
        <f t="shared" si="7"/>
        <v>3141.5926535897929</v>
      </c>
      <c r="H55" s="26">
        <f t="shared" si="8"/>
        <v>3.1415926535897931</v>
      </c>
      <c r="I55" s="27">
        <f t="shared" si="14"/>
        <v>41322.539725906681</v>
      </c>
      <c r="J55" s="28">
        <f t="shared" si="14"/>
        <v>41322.539725906681</v>
      </c>
      <c r="K55" s="20" t="str">
        <f t="shared" si="10"/>
        <v>Sun</v>
      </c>
      <c r="L55" s="29">
        <f t="shared" si="11"/>
        <v>0.1308996938995747</v>
      </c>
    </row>
    <row r="56" spans="1:12" x14ac:dyDescent="0.55000000000000004">
      <c r="A56" s="20" t="s">
        <v>72</v>
      </c>
      <c r="C56" s="21" t="str">
        <f t="shared" si="4"/>
        <v>10^(+0.5)</v>
      </c>
      <c r="D56" s="22">
        <f xml:space="preserve"> SQRT(10)</f>
        <v>3.1622776601683795</v>
      </c>
      <c r="E56" s="23">
        <f t="shared" si="5"/>
        <v>3162.2776601683795</v>
      </c>
      <c r="F56" s="24">
        <f t="shared" si="6"/>
        <v>3.1622776601683795</v>
      </c>
      <c r="G56" s="25">
        <f t="shared" si="7"/>
        <v>3162.2776601683795</v>
      </c>
      <c r="H56" s="26">
        <f t="shared" si="8"/>
        <v>3.1622776601683795</v>
      </c>
      <c r="I56" s="27">
        <f t="shared" si="14"/>
        <v>41330.069068301287</v>
      </c>
      <c r="J56" s="28">
        <f t="shared" si="14"/>
        <v>41330.069068301287</v>
      </c>
      <c r="K56" s="20" t="str">
        <f t="shared" si="10"/>
        <v>Mon</v>
      </c>
      <c r="L56" s="29">
        <f t="shared" si="11"/>
        <v>0.13176156917368248</v>
      </c>
    </row>
    <row r="57" spans="1:12" x14ac:dyDescent="0.55000000000000004">
      <c r="A57" s="20" t="s">
        <v>73</v>
      </c>
      <c r="C57" s="21" t="str">
        <f t="shared" si="4"/>
        <v>TwoPi</v>
      </c>
      <c r="D57" s="22">
        <f xml:space="preserve"> 2 * PI()</f>
        <v>6.2831853071795862</v>
      </c>
      <c r="E57" s="23">
        <f t="shared" si="5"/>
        <v>6283.1853071795858</v>
      </c>
      <c r="F57" s="24">
        <f t="shared" si="6"/>
        <v>6.2831853071795862</v>
      </c>
      <c r="G57" s="25">
        <f t="shared" si="7"/>
        <v>6283.1853071795858</v>
      </c>
      <c r="H57" s="26">
        <f t="shared" si="8"/>
        <v>6.2831853071795862</v>
      </c>
      <c r="I57" s="27">
        <f t="shared" si="14"/>
        <v>42466.07945181337</v>
      </c>
      <c r="J57" s="28">
        <f t="shared" si="14"/>
        <v>42466.07945181337</v>
      </c>
      <c r="K57" s="20" t="str">
        <f t="shared" si="10"/>
        <v>Wed</v>
      </c>
      <c r="L57" s="29">
        <f t="shared" si="11"/>
        <v>0.26179938779914941</v>
      </c>
    </row>
    <row r="58" spans="1:12" x14ac:dyDescent="0.55000000000000004">
      <c r="A58" s="20" t="s">
        <v>74</v>
      </c>
      <c r="C58" s="21" t="str">
        <f t="shared" si="4"/>
        <v>exp(+2)</v>
      </c>
      <c r="D58" s="22">
        <f xml:space="preserve"> EXP(2)</f>
        <v>7.3890560989306504</v>
      </c>
      <c r="E58" s="23">
        <f t="shared" si="5"/>
        <v>7389.0560989306505</v>
      </c>
      <c r="F58" s="24">
        <f t="shared" si="6"/>
        <v>7.3890560989306504</v>
      </c>
      <c r="G58" s="25">
        <f t="shared" si="7"/>
        <v>7389.0560989306505</v>
      </c>
      <c r="H58" s="26">
        <f t="shared" si="8"/>
        <v>7.3890560989306504</v>
      </c>
      <c r="I58" s="27">
        <f t="shared" si="14"/>
        <v>42868.61642001076</v>
      </c>
      <c r="J58" s="28">
        <f t="shared" si="14"/>
        <v>42868.61642001076</v>
      </c>
      <c r="K58" s="20" t="str">
        <f t="shared" si="10"/>
        <v>Sat</v>
      </c>
      <c r="L58" s="29">
        <f t="shared" si="11"/>
        <v>0.30787733745544377</v>
      </c>
    </row>
    <row r="59" spans="1:12" x14ac:dyDescent="0.55000000000000004">
      <c r="A59" s="20" t="s">
        <v>75</v>
      </c>
      <c r="C59" s="21" t="str">
        <f t="shared" si="4"/>
        <v>PI^(+2.0)</v>
      </c>
      <c r="D59" s="22">
        <f xml:space="preserve"> PI()^2</f>
        <v>9.869604401089358</v>
      </c>
      <c r="E59" s="23">
        <f t="shared" si="5"/>
        <v>9869.6044010893584</v>
      </c>
      <c r="F59" s="24">
        <f t="shared" si="6"/>
        <v>9.869604401089358</v>
      </c>
      <c r="G59" s="25">
        <f t="shared" si="7"/>
        <v>9869.6044010893584</v>
      </c>
      <c r="H59" s="26">
        <f t="shared" si="8"/>
        <v>9.869604401089358</v>
      </c>
      <c r="I59" s="27">
        <f t="shared" si="14"/>
        <v>43771.53600199653</v>
      </c>
      <c r="J59" s="28">
        <f t="shared" si="14"/>
        <v>43771.53600199653</v>
      </c>
      <c r="K59" s="20" t="str">
        <f t="shared" si="10"/>
        <v>Sat</v>
      </c>
      <c r="L59" s="29">
        <f t="shared" si="11"/>
        <v>0.41123351671205655</v>
      </c>
    </row>
    <row r="60" spans="1:12" x14ac:dyDescent="0.55000000000000004">
      <c r="A60" s="20" t="s">
        <v>76</v>
      </c>
      <c r="C60" s="21" t="str">
        <f t="shared" si="4"/>
        <v>exp(+3)</v>
      </c>
      <c r="D60" s="22">
        <f xml:space="preserve"> EXP(3)</f>
        <v>20.085536923187668</v>
      </c>
      <c r="E60" s="23">
        <f t="shared" si="5"/>
        <v>20085.536923187668</v>
      </c>
      <c r="F60" s="24">
        <f t="shared" si="6"/>
        <v>20.085536923187668</v>
      </c>
      <c r="G60" s="25">
        <f t="shared" si="7"/>
        <v>20085.536923187668</v>
      </c>
      <c r="H60" s="26">
        <f t="shared" si="8"/>
        <v>20.085536923187668</v>
      </c>
      <c r="I60" s="27">
        <f t="shared" si="14"/>
        <v>47490.135440040314</v>
      </c>
      <c r="J60" s="28">
        <f t="shared" si="14"/>
        <v>47490.135440040314</v>
      </c>
      <c r="K60" s="20" t="str">
        <f t="shared" si="10"/>
        <v>Mon</v>
      </c>
      <c r="L60" s="29">
        <f t="shared" si="11"/>
        <v>0.83689737179948609</v>
      </c>
    </row>
  </sheetData>
  <autoFilter ref="A5:M5" xr:uid="{00000000-0009-0000-0000-000000000000}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40CD-08C3-40CE-A783-8F58995484DC}">
  <sheetPr>
    <pageSetUpPr fitToPage="1"/>
  </sheetPr>
  <dimension ref="A1:J8"/>
  <sheetViews>
    <sheetView tabSelected="1"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2.9" x14ac:dyDescent="0.55000000000000004"/>
  <cols>
    <col min="1" max="1" width="1.578125" style="20" customWidth="1"/>
    <col min="2" max="2" width="9.578125" style="20" customWidth="1"/>
    <col min="3" max="3" width="15.578125" style="20" customWidth="1"/>
    <col min="4" max="4" width="12.578125" style="28" customWidth="1"/>
    <col min="5" max="6" width="8.7890625" style="20"/>
    <col min="7" max="7" width="12.578125" style="28" customWidth="1"/>
    <col min="8" max="9" width="9.578125" style="20" customWidth="1"/>
    <col min="10" max="10" width="6.578125" style="20" customWidth="1"/>
    <col min="11" max="16384" width="8.7890625" style="20"/>
  </cols>
  <sheetData>
    <row r="1" spans="1:10" s="1" customFormat="1" ht="18" customHeight="1" x14ac:dyDescent="0.55000000000000004">
      <c r="A1" s="1" t="s">
        <v>0</v>
      </c>
      <c r="B1" s="1" t="s">
        <v>77</v>
      </c>
      <c r="C1" s="1" t="s">
        <v>78</v>
      </c>
      <c r="D1" s="9" t="s">
        <v>79</v>
      </c>
      <c r="E1" s="1" t="s">
        <v>80</v>
      </c>
      <c r="F1" s="1" t="s">
        <v>81</v>
      </c>
      <c r="G1" s="9" t="s">
        <v>82</v>
      </c>
      <c r="H1" s="1" t="s">
        <v>280</v>
      </c>
      <c r="I1" s="1" t="s">
        <v>281</v>
      </c>
      <c r="J1" s="1" t="s">
        <v>282</v>
      </c>
    </row>
    <row r="2" spans="1:10" s="11" customFormat="1" ht="10.5" hidden="1" x14ac:dyDescent="0.55000000000000004">
      <c r="A2" s="11" t="s">
        <v>13</v>
      </c>
      <c r="D2" s="18"/>
      <c r="G2" s="18"/>
    </row>
    <row r="3" spans="1:10" s="11" customFormat="1" ht="10.5" hidden="1" x14ac:dyDescent="0.55000000000000004">
      <c r="A3" s="11" t="s">
        <v>14</v>
      </c>
      <c r="D3" s="18"/>
      <c r="G3" s="18"/>
    </row>
    <row r="4" spans="1:10" s="11" customFormat="1" ht="10.5" hidden="1" x14ac:dyDescent="0.55000000000000004">
      <c r="A4" s="11" t="s">
        <v>15</v>
      </c>
      <c r="D4" s="18"/>
      <c r="G4" s="18"/>
    </row>
    <row r="5" spans="1:10" s="11" customFormat="1" ht="25" hidden="1" customHeight="1" x14ac:dyDescent="0.55000000000000004">
      <c r="A5" s="11" t="s">
        <v>16</v>
      </c>
      <c r="B5" s="14">
        <f>COUNTA(B$6:B$105)</f>
        <v>3</v>
      </c>
      <c r="D5" s="16"/>
      <c r="G5" s="16"/>
    </row>
    <row r="6" spans="1:10" x14ac:dyDescent="0.55000000000000004">
      <c r="B6" s="20" t="s">
        <v>274</v>
      </c>
      <c r="C6" s="20" t="s">
        <v>278</v>
      </c>
      <c r="D6" s="28">
        <v>45676</v>
      </c>
      <c r="G6" s="28">
        <v>45647</v>
      </c>
      <c r="H6" s="20" t="s">
        <v>275</v>
      </c>
      <c r="I6" s="20" t="s">
        <v>276</v>
      </c>
    </row>
    <row r="7" spans="1:10" x14ac:dyDescent="0.55000000000000004">
      <c r="B7" s="20" t="s">
        <v>174</v>
      </c>
      <c r="C7" s="20" t="s">
        <v>90</v>
      </c>
      <c r="D7" s="28">
        <v>45676</v>
      </c>
      <c r="E7" s="20" t="s">
        <v>91</v>
      </c>
      <c r="G7" s="28">
        <v>45536</v>
      </c>
      <c r="H7" s="20" t="s">
        <v>92</v>
      </c>
      <c r="I7" s="20" t="s">
        <v>93</v>
      </c>
    </row>
    <row r="8" spans="1:10" x14ac:dyDescent="0.55000000000000004">
      <c r="B8" s="20" t="s">
        <v>277</v>
      </c>
      <c r="C8" s="20" t="s">
        <v>279</v>
      </c>
      <c r="D8" s="28">
        <v>45676</v>
      </c>
      <c r="G8" s="28">
        <v>45676</v>
      </c>
      <c r="H8" s="20" t="s">
        <v>275</v>
      </c>
      <c r="I8" s="20" t="s">
        <v>276</v>
      </c>
    </row>
  </sheetData>
  <autoFilter ref="A5" xr:uid="{00000000-0009-0000-0000-000000000000}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680E-08FA-4873-9E73-56FAB230CEC6}">
  <sheetPr>
    <pageSetUpPr fitToPage="1"/>
  </sheetPr>
  <dimension ref="A1:C8"/>
  <sheetViews>
    <sheetView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2.9" x14ac:dyDescent="0.55000000000000004"/>
  <cols>
    <col min="1" max="1" width="1.578125" style="20" customWidth="1"/>
    <col min="2" max="16384" width="8.7890625" style="20"/>
  </cols>
  <sheetData>
    <row r="1" spans="1:3" s="1" customFormat="1" ht="18" customHeight="1" x14ac:dyDescent="0.55000000000000004">
      <c r="A1" s="1" t="s">
        <v>0</v>
      </c>
      <c r="B1" s="1" t="s">
        <v>83</v>
      </c>
      <c r="C1" s="1" t="s">
        <v>78</v>
      </c>
    </row>
    <row r="2" spans="1:3" s="11" customFormat="1" ht="10.5" hidden="1" x14ac:dyDescent="0.55000000000000004">
      <c r="A2" s="11" t="s">
        <v>13</v>
      </c>
    </row>
    <row r="3" spans="1:3" s="11" customFormat="1" ht="10.5" hidden="1" x14ac:dyDescent="0.55000000000000004">
      <c r="A3" s="11" t="s">
        <v>14</v>
      </c>
    </row>
    <row r="4" spans="1:3" s="11" customFormat="1" ht="10.5" hidden="1" x14ac:dyDescent="0.55000000000000004">
      <c r="A4" s="11" t="s">
        <v>15</v>
      </c>
    </row>
    <row r="5" spans="1:3" s="11" customFormat="1" ht="25" hidden="1" customHeight="1" x14ac:dyDescent="0.55000000000000004">
      <c r="A5" s="11" t="s">
        <v>16</v>
      </c>
    </row>
    <row r="6" spans="1:3" x14ac:dyDescent="0.55000000000000004">
      <c r="B6" s="20" t="s">
        <v>84</v>
      </c>
      <c r="C6" s="20" t="s">
        <v>85</v>
      </c>
    </row>
    <row r="7" spans="1:3" x14ac:dyDescent="0.55000000000000004">
      <c r="B7" s="20" t="s">
        <v>86</v>
      </c>
      <c r="C7" s="20" t="s">
        <v>87</v>
      </c>
    </row>
    <row r="8" spans="1:3" x14ac:dyDescent="0.55000000000000004">
      <c r="B8" s="20" t="s">
        <v>88</v>
      </c>
      <c r="C8" s="20" t="s">
        <v>89</v>
      </c>
    </row>
  </sheetData>
  <autoFilter ref="A5" xr:uid="{00000000-0009-0000-0000-000000000000}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10BD-C6BE-44AA-A29D-F7744663935B}">
  <sheetPr>
    <pageSetUpPr fitToPage="1"/>
  </sheetPr>
  <dimension ref="A1:F102"/>
  <sheetViews>
    <sheetView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2.9" x14ac:dyDescent="0.55000000000000004"/>
  <cols>
    <col min="1" max="1" width="1.578125" style="20" customWidth="1"/>
    <col min="2" max="5" width="6.578125" style="23" customWidth="1"/>
    <col min="6" max="6" width="36.578125" style="20" customWidth="1"/>
    <col min="7" max="16384" width="8.7890625" style="20"/>
  </cols>
  <sheetData>
    <row r="1" spans="1:6" s="1" customFormat="1" ht="18" customHeight="1" x14ac:dyDescent="0.55000000000000004">
      <c r="A1" s="1" t="s">
        <v>0</v>
      </c>
      <c r="B1" s="4" t="s">
        <v>94</v>
      </c>
      <c r="C1" s="4" t="s">
        <v>95</v>
      </c>
      <c r="D1" s="4" t="s">
        <v>96</v>
      </c>
      <c r="E1" s="4" t="s">
        <v>125</v>
      </c>
      <c r="F1" s="1" t="s">
        <v>97</v>
      </c>
    </row>
    <row r="2" spans="1:6" s="11" customFormat="1" ht="10.5" hidden="1" x14ac:dyDescent="0.55000000000000004">
      <c r="A2" s="11" t="s">
        <v>13</v>
      </c>
      <c r="B2" s="14"/>
      <c r="C2" s="14"/>
      <c r="D2" s="14"/>
      <c r="E2" s="14"/>
    </row>
    <row r="3" spans="1:6" s="11" customFormat="1" ht="10.5" hidden="1" x14ac:dyDescent="0.55000000000000004">
      <c r="A3" s="11" t="s">
        <v>14</v>
      </c>
      <c r="B3" s="14"/>
      <c r="C3" s="14"/>
      <c r="D3" s="14"/>
      <c r="E3" s="14"/>
    </row>
    <row r="4" spans="1:6" s="11" customFormat="1" ht="10.5" hidden="1" x14ac:dyDescent="0.55000000000000004">
      <c r="A4" s="11" t="s">
        <v>15</v>
      </c>
      <c r="B4" s="14"/>
      <c r="C4" s="14"/>
      <c r="D4" s="14"/>
      <c r="E4" s="14"/>
    </row>
    <row r="5" spans="1:6" s="11" customFormat="1" ht="25" customHeight="1" x14ac:dyDescent="0.55000000000000004">
      <c r="A5" s="11" t="s">
        <v>16</v>
      </c>
      <c r="B5" s="14">
        <f t="shared" ref="B5" si="0">COUNTA(B$6:B$105)</f>
        <v>97</v>
      </c>
      <c r="C5" s="14"/>
      <c r="D5" s="14"/>
      <c r="E5" s="14"/>
    </row>
    <row r="6" spans="1:6" x14ac:dyDescent="0.55000000000000004">
      <c r="B6" s="23">
        <v>1</v>
      </c>
      <c r="C6" s="23">
        <v>0</v>
      </c>
      <c r="D6" s="23">
        <v>0</v>
      </c>
      <c r="E6" s="23">
        <v>5</v>
      </c>
      <c r="F6" s="20" t="s">
        <v>100</v>
      </c>
    </row>
    <row r="7" spans="1:6" x14ac:dyDescent="0.55000000000000004">
      <c r="B7" s="23">
        <v>2</v>
      </c>
      <c r="C7" s="23">
        <v>0</v>
      </c>
      <c r="D7" s="23">
        <v>0</v>
      </c>
      <c r="E7" s="23">
        <v>7</v>
      </c>
      <c r="F7" s="20" t="s">
        <v>98</v>
      </c>
    </row>
    <row r="8" spans="1:6" x14ac:dyDescent="0.55000000000000004">
      <c r="B8" s="23">
        <v>2</v>
      </c>
      <c r="C8" s="23">
        <v>1</v>
      </c>
      <c r="D8" s="23">
        <v>0</v>
      </c>
      <c r="E8" s="23">
        <v>7</v>
      </c>
      <c r="F8" s="20" t="s">
        <v>106</v>
      </c>
    </row>
    <row r="9" spans="1:6" x14ac:dyDescent="0.55000000000000004">
      <c r="B9" s="23">
        <v>2</v>
      </c>
      <c r="C9" s="23">
        <v>2</v>
      </c>
      <c r="D9" s="23">
        <v>0</v>
      </c>
      <c r="E9" s="23">
        <v>8</v>
      </c>
      <c r="F9" s="20" t="s">
        <v>107</v>
      </c>
    </row>
    <row r="10" spans="1:6" x14ac:dyDescent="0.55000000000000004">
      <c r="B10" s="23">
        <v>2</v>
      </c>
      <c r="C10" s="23">
        <v>3</v>
      </c>
      <c r="D10" s="23">
        <v>0</v>
      </c>
      <c r="E10" s="23">
        <v>13</v>
      </c>
      <c r="F10" s="20" t="s">
        <v>108</v>
      </c>
    </row>
    <row r="11" spans="1:6" x14ac:dyDescent="0.55000000000000004">
      <c r="B11" s="23">
        <v>2</v>
      </c>
      <c r="C11" s="23">
        <v>3</v>
      </c>
      <c r="D11" s="23">
        <v>1</v>
      </c>
      <c r="E11" s="23">
        <v>13</v>
      </c>
      <c r="F11" s="20" t="s">
        <v>135</v>
      </c>
    </row>
    <row r="12" spans="1:6" x14ac:dyDescent="0.55000000000000004">
      <c r="B12" s="23">
        <v>2</v>
      </c>
      <c r="C12" s="23">
        <v>3</v>
      </c>
      <c r="D12" s="23">
        <v>2</v>
      </c>
      <c r="E12" s="23">
        <v>14</v>
      </c>
      <c r="F12" s="20" t="s">
        <v>136</v>
      </c>
    </row>
    <row r="13" spans="1:6" x14ac:dyDescent="0.55000000000000004">
      <c r="B13" s="23">
        <v>2</v>
      </c>
      <c r="C13" s="23">
        <v>3</v>
      </c>
      <c r="D13" s="23">
        <v>3</v>
      </c>
      <c r="E13" s="23">
        <v>15</v>
      </c>
      <c r="F13" s="20" t="s">
        <v>137</v>
      </c>
    </row>
    <row r="14" spans="1:6" x14ac:dyDescent="0.55000000000000004">
      <c r="B14" s="23">
        <v>2</v>
      </c>
      <c r="C14" s="23">
        <v>3</v>
      </c>
      <c r="D14" s="23">
        <v>4</v>
      </c>
      <c r="E14" s="23">
        <v>15</v>
      </c>
      <c r="F14" s="20" t="s">
        <v>138</v>
      </c>
    </row>
    <row r="15" spans="1:6" x14ac:dyDescent="0.55000000000000004">
      <c r="B15" s="23">
        <v>2</v>
      </c>
      <c r="C15" s="23">
        <v>3</v>
      </c>
      <c r="D15" s="23">
        <v>5</v>
      </c>
      <c r="E15" s="23">
        <v>16</v>
      </c>
      <c r="F15" s="20" t="s">
        <v>139</v>
      </c>
    </row>
    <row r="16" spans="1:6" x14ac:dyDescent="0.55000000000000004">
      <c r="B16" s="23">
        <v>2</v>
      </c>
      <c r="C16" s="23">
        <v>3</v>
      </c>
      <c r="D16" s="23">
        <v>6</v>
      </c>
      <c r="E16" s="23">
        <v>17</v>
      </c>
      <c r="F16" s="20" t="s">
        <v>140</v>
      </c>
    </row>
    <row r="17" spans="2:6" x14ac:dyDescent="0.55000000000000004">
      <c r="B17" s="23">
        <v>2</v>
      </c>
      <c r="C17" s="23">
        <v>4</v>
      </c>
      <c r="D17" s="23">
        <v>0</v>
      </c>
      <c r="E17" s="23">
        <v>19</v>
      </c>
      <c r="F17" s="20" t="s">
        <v>109</v>
      </c>
    </row>
    <row r="18" spans="2:6" x14ac:dyDescent="0.55000000000000004">
      <c r="B18" s="23">
        <v>2</v>
      </c>
      <c r="C18" s="23">
        <v>5</v>
      </c>
      <c r="D18" s="23">
        <v>0</v>
      </c>
      <c r="E18" s="23">
        <v>20</v>
      </c>
      <c r="F18" s="20" t="s">
        <v>110</v>
      </c>
    </row>
    <row r="19" spans="2:6" x14ac:dyDescent="0.55000000000000004">
      <c r="B19" s="23">
        <v>2</v>
      </c>
      <c r="C19" s="23">
        <v>6</v>
      </c>
      <c r="D19" s="23">
        <v>0</v>
      </c>
      <c r="E19" s="23">
        <v>21</v>
      </c>
      <c r="F19" s="20" t="s">
        <v>111</v>
      </c>
    </row>
    <row r="20" spans="2:6" x14ac:dyDescent="0.55000000000000004">
      <c r="B20" s="23">
        <v>3</v>
      </c>
      <c r="C20" s="23">
        <v>0</v>
      </c>
      <c r="D20" s="23">
        <v>0</v>
      </c>
      <c r="E20" s="23">
        <v>23</v>
      </c>
      <c r="F20" s="20" t="s">
        <v>99</v>
      </c>
    </row>
    <row r="21" spans="2:6" x14ac:dyDescent="0.55000000000000004">
      <c r="B21" s="23">
        <v>3</v>
      </c>
      <c r="C21" s="23">
        <v>1</v>
      </c>
      <c r="D21" s="23">
        <v>0</v>
      </c>
      <c r="E21" s="23">
        <v>23</v>
      </c>
      <c r="F21" s="20" t="s">
        <v>112</v>
      </c>
    </row>
    <row r="22" spans="2:6" x14ac:dyDescent="0.55000000000000004">
      <c r="B22" s="23">
        <v>3</v>
      </c>
      <c r="C22" s="23">
        <v>1</v>
      </c>
      <c r="D22" s="23">
        <v>1</v>
      </c>
      <c r="E22" s="23">
        <v>23</v>
      </c>
      <c r="F22" s="20" t="s">
        <v>141</v>
      </c>
    </row>
    <row r="23" spans="2:6" x14ac:dyDescent="0.55000000000000004">
      <c r="B23" s="23">
        <v>3</v>
      </c>
      <c r="C23" s="23">
        <v>1</v>
      </c>
      <c r="D23" s="23">
        <v>2</v>
      </c>
      <c r="E23" s="23">
        <v>24</v>
      </c>
      <c r="F23" s="20" t="s">
        <v>142</v>
      </c>
    </row>
    <row r="24" spans="2:6" x14ac:dyDescent="0.55000000000000004">
      <c r="B24" s="23">
        <v>3</v>
      </c>
      <c r="C24" s="23">
        <v>2</v>
      </c>
      <c r="D24" s="23">
        <v>0</v>
      </c>
      <c r="E24" s="23">
        <v>28</v>
      </c>
      <c r="F24" s="20" t="s">
        <v>113</v>
      </c>
    </row>
    <row r="25" spans="2:6" x14ac:dyDescent="0.55000000000000004">
      <c r="B25" s="23">
        <v>3</v>
      </c>
      <c r="C25" s="23">
        <v>2</v>
      </c>
      <c r="D25" s="23">
        <v>1</v>
      </c>
      <c r="E25" s="23">
        <v>28</v>
      </c>
      <c r="F25" s="20" t="s">
        <v>143</v>
      </c>
    </row>
    <row r="26" spans="2:6" x14ac:dyDescent="0.55000000000000004">
      <c r="B26" s="23">
        <v>3</v>
      </c>
      <c r="C26" s="23">
        <v>3</v>
      </c>
      <c r="D26" s="23">
        <v>0</v>
      </c>
      <c r="E26" s="23">
        <v>28</v>
      </c>
      <c r="F26" s="20" t="s">
        <v>114</v>
      </c>
    </row>
    <row r="27" spans="2:6" x14ac:dyDescent="0.55000000000000004">
      <c r="B27" s="23">
        <v>3</v>
      </c>
      <c r="C27" s="23">
        <v>3</v>
      </c>
      <c r="D27" s="23">
        <v>1</v>
      </c>
      <c r="E27" s="23">
        <v>28</v>
      </c>
      <c r="F27" s="20" t="s">
        <v>144</v>
      </c>
    </row>
    <row r="28" spans="2:6" x14ac:dyDescent="0.55000000000000004">
      <c r="B28" s="23">
        <v>3</v>
      </c>
      <c r="C28" s="23">
        <v>4</v>
      </c>
      <c r="D28" s="23">
        <v>0</v>
      </c>
      <c r="E28" s="23">
        <v>30</v>
      </c>
      <c r="F28" s="20" t="s">
        <v>115</v>
      </c>
    </row>
    <row r="29" spans="2:6" x14ac:dyDescent="0.55000000000000004">
      <c r="B29" s="23">
        <v>3</v>
      </c>
      <c r="C29" s="23">
        <v>4</v>
      </c>
      <c r="D29" s="23">
        <v>1</v>
      </c>
      <c r="E29" s="23">
        <v>30</v>
      </c>
      <c r="F29" s="20" t="s">
        <v>145</v>
      </c>
    </row>
    <row r="30" spans="2:6" x14ac:dyDescent="0.55000000000000004">
      <c r="B30" s="23">
        <v>3</v>
      </c>
      <c r="C30" s="23">
        <v>4</v>
      </c>
      <c r="D30" s="23">
        <v>2</v>
      </c>
      <c r="E30" s="23">
        <v>33</v>
      </c>
      <c r="F30" s="20" t="s">
        <v>146</v>
      </c>
    </row>
    <row r="31" spans="2:6" x14ac:dyDescent="0.55000000000000004">
      <c r="B31" s="23">
        <v>3</v>
      </c>
      <c r="C31" s="23">
        <v>4</v>
      </c>
      <c r="D31" s="23">
        <v>3</v>
      </c>
      <c r="E31" s="23">
        <v>36</v>
      </c>
      <c r="F31" s="20" t="s">
        <v>147</v>
      </c>
    </row>
    <row r="32" spans="2:6" x14ac:dyDescent="0.55000000000000004">
      <c r="B32" s="23">
        <v>3</v>
      </c>
      <c r="C32" s="23">
        <v>4</v>
      </c>
      <c r="D32" s="23">
        <v>4</v>
      </c>
      <c r="E32" s="23">
        <v>37</v>
      </c>
      <c r="F32" s="20" t="s">
        <v>148</v>
      </c>
    </row>
    <row r="33" spans="2:6" x14ac:dyDescent="0.55000000000000004">
      <c r="B33" s="23">
        <v>3</v>
      </c>
      <c r="C33" s="23">
        <v>4</v>
      </c>
      <c r="D33" s="23">
        <v>5</v>
      </c>
      <c r="E33" s="23">
        <v>38</v>
      </c>
      <c r="F33" s="20" t="s">
        <v>149</v>
      </c>
    </row>
    <row r="34" spans="2:6" x14ac:dyDescent="0.55000000000000004">
      <c r="B34" s="23">
        <v>3</v>
      </c>
      <c r="C34" s="23">
        <v>5</v>
      </c>
      <c r="D34" s="23">
        <v>0</v>
      </c>
      <c r="E34" s="23">
        <v>42</v>
      </c>
      <c r="F34" s="20" t="s">
        <v>116</v>
      </c>
    </row>
    <row r="35" spans="2:6" x14ac:dyDescent="0.55000000000000004">
      <c r="B35" s="23">
        <v>3</v>
      </c>
      <c r="C35" s="23">
        <v>6</v>
      </c>
      <c r="D35" s="23">
        <v>0</v>
      </c>
      <c r="E35" s="23">
        <v>43</v>
      </c>
      <c r="F35" s="20" t="s">
        <v>117</v>
      </c>
    </row>
    <row r="36" spans="2:6" x14ac:dyDescent="0.55000000000000004">
      <c r="B36" s="23">
        <v>4</v>
      </c>
      <c r="C36" s="23">
        <v>0</v>
      </c>
      <c r="D36" s="23">
        <v>0</v>
      </c>
      <c r="E36" s="23">
        <v>45</v>
      </c>
      <c r="F36" s="20" t="s">
        <v>101</v>
      </c>
    </row>
    <row r="37" spans="2:6" x14ac:dyDescent="0.55000000000000004">
      <c r="B37" s="23">
        <v>4</v>
      </c>
      <c r="C37" s="23">
        <v>1</v>
      </c>
      <c r="D37" s="23">
        <v>0</v>
      </c>
      <c r="E37" s="23">
        <v>45</v>
      </c>
      <c r="F37" s="20" t="s">
        <v>100</v>
      </c>
    </row>
    <row r="38" spans="2:6" x14ac:dyDescent="0.55000000000000004">
      <c r="B38" s="23">
        <v>4</v>
      </c>
      <c r="C38" s="23">
        <v>2</v>
      </c>
      <c r="D38" s="23">
        <v>0</v>
      </c>
      <c r="E38" s="23">
        <v>45</v>
      </c>
      <c r="F38" s="20" t="s">
        <v>118</v>
      </c>
    </row>
    <row r="39" spans="2:6" x14ac:dyDescent="0.55000000000000004">
      <c r="B39" s="23">
        <v>4</v>
      </c>
      <c r="C39" s="23">
        <v>3</v>
      </c>
      <c r="D39" s="23">
        <v>0</v>
      </c>
      <c r="E39" s="23">
        <v>46</v>
      </c>
      <c r="F39" s="20" t="s">
        <v>119</v>
      </c>
    </row>
    <row r="40" spans="2:6" x14ac:dyDescent="0.55000000000000004">
      <c r="B40" s="23">
        <v>4</v>
      </c>
      <c r="C40" s="23">
        <v>3</v>
      </c>
      <c r="D40" s="23">
        <v>1</v>
      </c>
      <c r="E40" s="23">
        <v>46</v>
      </c>
      <c r="F40" s="20" t="s">
        <v>150</v>
      </c>
    </row>
    <row r="41" spans="2:6" x14ac:dyDescent="0.55000000000000004">
      <c r="B41" s="23">
        <v>4</v>
      </c>
      <c r="C41" s="23">
        <v>3</v>
      </c>
      <c r="D41" s="23">
        <v>2</v>
      </c>
      <c r="E41" s="23">
        <v>47</v>
      </c>
      <c r="F41" s="20" t="s">
        <v>151</v>
      </c>
    </row>
    <row r="42" spans="2:6" x14ac:dyDescent="0.55000000000000004">
      <c r="B42" s="23">
        <v>4</v>
      </c>
      <c r="C42" s="23">
        <v>4</v>
      </c>
      <c r="D42" s="23">
        <v>0</v>
      </c>
      <c r="E42" s="23">
        <v>47</v>
      </c>
      <c r="F42" s="20" t="s">
        <v>120</v>
      </c>
    </row>
    <row r="43" spans="2:6" x14ac:dyDescent="0.55000000000000004">
      <c r="B43" s="23">
        <v>4</v>
      </c>
      <c r="C43" s="23">
        <v>4</v>
      </c>
      <c r="D43" s="23">
        <v>1</v>
      </c>
      <c r="E43" s="23">
        <v>48</v>
      </c>
      <c r="F43" s="20" t="s">
        <v>152</v>
      </c>
    </row>
    <row r="44" spans="2:6" x14ac:dyDescent="0.55000000000000004">
      <c r="B44" s="23">
        <v>4</v>
      </c>
      <c r="C44" s="23">
        <v>5</v>
      </c>
      <c r="D44" s="23">
        <v>0</v>
      </c>
      <c r="E44" s="23">
        <v>49</v>
      </c>
      <c r="F44" s="20" t="s">
        <v>121</v>
      </c>
    </row>
    <row r="45" spans="2:6" x14ac:dyDescent="0.55000000000000004">
      <c r="B45" s="23">
        <v>4</v>
      </c>
      <c r="C45" s="23">
        <v>6</v>
      </c>
      <c r="D45" s="23">
        <v>0</v>
      </c>
      <c r="E45" s="23">
        <v>51</v>
      </c>
      <c r="F45" s="20" t="s">
        <v>122</v>
      </c>
    </row>
    <row r="46" spans="2:6" x14ac:dyDescent="0.55000000000000004">
      <c r="B46" s="23">
        <v>5</v>
      </c>
      <c r="C46" s="23">
        <v>0</v>
      </c>
      <c r="D46" s="23">
        <v>0</v>
      </c>
      <c r="E46" s="23">
        <v>53</v>
      </c>
      <c r="F46" s="20" t="s">
        <v>102</v>
      </c>
    </row>
    <row r="47" spans="2:6" x14ac:dyDescent="0.55000000000000004">
      <c r="B47" s="23">
        <v>5</v>
      </c>
      <c r="C47" s="23">
        <v>1</v>
      </c>
      <c r="D47" s="23">
        <v>0</v>
      </c>
      <c r="E47" s="23">
        <v>53</v>
      </c>
      <c r="F47" s="20" t="s">
        <v>123</v>
      </c>
    </row>
    <row r="48" spans="2:6" x14ac:dyDescent="0.55000000000000004">
      <c r="B48" s="23">
        <v>5</v>
      </c>
      <c r="C48" s="23">
        <v>2</v>
      </c>
      <c r="D48" s="23">
        <v>0</v>
      </c>
      <c r="E48" s="23">
        <v>55</v>
      </c>
      <c r="F48" s="20" t="s">
        <v>124</v>
      </c>
    </row>
    <row r="49" spans="2:6" x14ac:dyDescent="0.55000000000000004">
      <c r="B49" s="23">
        <v>5</v>
      </c>
      <c r="C49" s="23">
        <v>2</v>
      </c>
      <c r="D49" s="23">
        <v>1</v>
      </c>
      <c r="E49" s="23">
        <v>55</v>
      </c>
      <c r="F49" s="20" t="s">
        <v>153</v>
      </c>
    </row>
    <row r="50" spans="2:6" x14ac:dyDescent="0.55000000000000004">
      <c r="B50" s="23">
        <v>5</v>
      </c>
      <c r="C50" s="23">
        <v>2</v>
      </c>
      <c r="D50" s="23">
        <v>2</v>
      </c>
      <c r="E50" s="23">
        <v>59</v>
      </c>
      <c r="F50" s="20" t="s">
        <v>154</v>
      </c>
    </row>
    <row r="51" spans="2:6" x14ac:dyDescent="0.55000000000000004">
      <c r="B51" s="23">
        <v>5</v>
      </c>
      <c r="C51" s="23">
        <v>2</v>
      </c>
      <c r="D51" s="23">
        <v>3</v>
      </c>
      <c r="E51" s="23">
        <v>60</v>
      </c>
      <c r="F51" s="20" t="s">
        <v>155</v>
      </c>
    </row>
    <row r="52" spans="2:6" x14ac:dyDescent="0.55000000000000004">
      <c r="B52" s="23">
        <v>5</v>
      </c>
      <c r="C52" s="23">
        <v>2</v>
      </c>
      <c r="D52" s="23">
        <v>4</v>
      </c>
      <c r="E52" s="23">
        <v>61</v>
      </c>
      <c r="F52" s="20" t="s">
        <v>156</v>
      </c>
    </row>
    <row r="53" spans="2:6" x14ac:dyDescent="0.55000000000000004">
      <c r="B53" s="23">
        <v>5</v>
      </c>
      <c r="C53" s="23">
        <v>2</v>
      </c>
      <c r="D53" s="23">
        <v>5</v>
      </c>
      <c r="E53" s="23">
        <v>62</v>
      </c>
      <c r="F53" s="20" t="s">
        <v>157</v>
      </c>
    </row>
    <row r="54" spans="2:6" x14ac:dyDescent="0.55000000000000004">
      <c r="B54" s="23">
        <v>6</v>
      </c>
      <c r="C54" s="23">
        <v>0</v>
      </c>
      <c r="D54" s="23">
        <v>0</v>
      </c>
      <c r="E54" s="23">
        <v>64</v>
      </c>
      <c r="F54" s="20" t="s">
        <v>103</v>
      </c>
    </row>
    <row r="55" spans="2:6" x14ac:dyDescent="0.55000000000000004">
      <c r="B55" s="23">
        <v>6</v>
      </c>
      <c r="C55" s="23">
        <v>1</v>
      </c>
      <c r="D55" s="23">
        <v>0</v>
      </c>
      <c r="E55" s="23">
        <v>64</v>
      </c>
      <c r="F55" s="20" t="s">
        <v>126</v>
      </c>
    </row>
    <row r="56" spans="2:6" x14ac:dyDescent="0.55000000000000004">
      <c r="B56" s="23">
        <v>6</v>
      </c>
      <c r="C56" s="23">
        <v>2</v>
      </c>
      <c r="D56" s="23">
        <v>0</v>
      </c>
      <c r="E56" s="23">
        <v>66</v>
      </c>
      <c r="F56" s="20" t="s">
        <v>127</v>
      </c>
    </row>
    <row r="57" spans="2:6" x14ac:dyDescent="0.55000000000000004">
      <c r="B57" s="23">
        <v>6</v>
      </c>
      <c r="C57" s="23">
        <v>3</v>
      </c>
      <c r="D57" s="23">
        <v>0</v>
      </c>
      <c r="E57" s="23">
        <v>67</v>
      </c>
      <c r="F57" s="20" t="s">
        <v>128</v>
      </c>
    </row>
    <row r="58" spans="2:6" x14ac:dyDescent="0.55000000000000004">
      <c r="B58" s="23">
        <v>6</v>
      </c>
      <c r="C58" s="23">
        <v>3</v>
      </c>
      <c r="D58" s="23">
        <v>1</v>
      </c>
      <c r="E58" s="23">
        <v>67</v>
      </c>
      <c r="F58" s="20" t="s">
        <v>158</v>
      </c>
    </row>
    <row r="59" spans="2:6" x14ac:dyDescent="0.55000000000000004">
      <c r="B59" s="23">
        <v>7</v>
      </c>
      <c r="C59" s="23">
        <v>0</v>
      </c>
      <c r="D59" s="23">
        <v>0</v>
      </c>
      <c r="E59" s="23">
        <v>70</v>
      </c>
      <c r="F59" s="20" t="s">
        <v>104</v>
      </c>
    </row>
    <row r="60" spans="2:6" x14ac:dyDescent="0.55000000000000004">
      <c r="B60" s="23">
        <v>7</v>
      </c>
      <c r="C60" s="23">
        <v>1</v>
      </c>
      <c r="D60" s="23">
        <v>0</v>
      </c>
      <c r="E60" s="23">
        <v>70</v>
      </c>
      <c r="F60" s="20" t="s">
        <v>100</v>
      </c>
    </row>
    <row r="61" spans="2:6" x14ac:dyDescent="0.55000000000000004">
      <c r="B61" s="23">
        <v>7</v>
      </c>
      <c r="C61" s="23">
        <v>2</v>
      </c>
      <c r="D61" s="23">
        <v>0</v>
      </c>
      <c r="E61" s="23">
        <v>70</v>
      </c>
      <c r="F61" s="20" t="s">
        <v>129</v>
      </c>
    </row>
    <row r="62" spans="2:6" x14ac:dyDescent="0.55000000000000004">
      <c r="B62" s="23">
        <v>7</v>
      </c>
      <c r="C62" s="23">
        <v>2</v>
      </c>
      <c r="D62" s="23">
        <v>1</v>
      </c>
      <c r="E62" s="23">
        <v>70</v>
      </c>
      <c r="F62" s="20" t="s">
        <v>159</v>
      </c>
    </row>
    <row r="63" spans="2:6" x14ac:dyDescent="0.55000000000000004">
      <c r="B63" s="23">
        <v>7</v>
      </c>
      <c r="C63" s="23">
        <v>2</v>
      </c>
      <c r="D63" s="23">
        <v>2</v>
      </c>
      <c r="E63" s="23">
        <v>71</v>
      </c>
      <c r="F63" s="20" t="s">
        <v>160</v>
      </c>
    </row>
    <row r="64" spans="2:6" x14ac:dyDescent="0.55000000000000004">
      <c r="B64" s="23">
        <v>7</v>
      </c>
      <c r="C64" s="23">
        <v>2</v>
      </c>
      <c r="D64" s="23">
        <v>3</v>
      </c>
      <c r="E64" s="23">
        <v>71</v>
      </c>
      <c r="F64" s="20" t="s">
        <v>161</v>
      </c>
    </row>
    <row r="65" spans="2:6" x14ac:dyDescent="0.55000000000000004">
      <c r="B65" s="23">
        <v>7</v>
      </c>
      <c r="C65" s="23">
        <v>2</v>
      </c>
      <c r="D65" s="23">
        <v>4</v>
      </c>
      <c r="E65" s="23">
        <v>72</v>
      </c>
      <c r="F65" s="20" t="s">
        <v>162</v>
      </c>
    </row>
    <row r="66" spans="2:6" x14ac:dyDescent="0.55000000000000004">
      <c r="B66" s="23">
        <v>7</v>
      </c>
      <c r="C66" s="23">
        <v>3</v>
      </c>
      <c r="D66" s="23">
        <v>0</v>
      </c>
      <c r="E66" s="23">
        <v>72</v>
      </c>
      <c r="F66" s="20" t="s">
        <v>130</v>
      </c>
    </row>
    <row r="67" spans="2:6" x14ac:dyDescent="0.55000000000000004">
      <c r="B67" s="23">
        <v>7</v>
      </c>
      <c r="C67" s="23">
        <v>3</v>
      </c>
      <c r="D67" s="23">
        <v>1</v>
      </c>
      <c r="E67" s="23">
        <v>72</v>
      </c>
      <c r="F67" s="20" t="s">
        <v>163</v>
      </c>
    </row>
    <row r="68" spans="2:6" x14ac:dyDescent="0.55000000000000004">
      <c r="B68" s="23">
        <v>7</v>
      </c>
      <c r="C68" s="23">
        <v>3</v>
      </c>
      <c r="D68" s="23">
        <v>2</v>
      </c>
      <c r="E68" s="23">
        <v>74</v>
      </c>
      <c r="F68" s="20" t="s">
        <v>164</v>
      </c>
    </row>
    <row r="69" spans="2:6" x14ac:dyDescent="0.55000000000000004">
      <c r="B69" s="23">
        <v>7</v>
      </c>
      <c r="C69" s="23">
        <v>3</v>
      </c>
      <c r="D69" s="23">
        <v>3</v>
      </c>
      <c r="E69" s="23">
        <v>74</v>
      </c>
      <c r="F69" s="20" t="s">
        <v>165</v>
      </c>
    </row>
    <row r="70" spans="2:6" x14ac:dyDescent="0.55000000000000004">
      <c r="B70" s="23">
        <v>7</v>
      </c>
      <c r="C70" s="23">
        <v>4</v>
      </c>
      <c r="D70" s="23">
        <v>0</v>
      </c>
      <c r="E70" s="23">
        <v>76</v>
      </c>
      <c r="F70" s="20" t="s">
        <v>131</v>
      </c>
    </row>
    <row r="71" spans="2:6" x14ac:dyDescent="0.55000000000000004">
      <c r="B71" s="23">
        <v>7</v>
      </c>
      <c r="C71" s="23">
        <v>4</v>
      </c>
      <c r="D71" s="23">
        <v>1</v>
      </c>
      <c r="E71" s="23">
        <v>78</v>
      </c>
      <c r="F71" s="20" t="s">
        <v>166</v>
      </c>
    </row>
    <row r="72" spans="2:6" x14ac:dyDescent="0.55000000000000004">
      <c r="B72" s="23">
        <v>7</v>
      </c>
      <c r="C72" s="23">
        <v>4</v>
      </c>
      <c r="D72" s="23">
        <v>2</v>
      </c>
      <c r="E72" s="23">
        <v>81</v>
      </c>
      <c r="F72" s="20" t="s">
        <v>167</v>
      </c>
    </row>
    <row r="73" spans="2:6" x14ac:dyDescent="0.55000000000000004">
      <c r="B73" s="23">
        <v>8</v>
      </c>
      <c r="C73" s="23">
        <v>0</v>
      </c>
      <c r="D73" s="23">
        <v>0</v>
      </c>
      <c r="E73" s="23">
        <v>83</v>
      </c>
      <c r="F73" s="20" t="s">
        <v>105</v>
      </c>
    </row>
    <row r="74" spans="2:6" x14ac:dyDescent="0.55000000000000004">
      <c r="B74" s="23">
        <v>8</v>
      </c>
      <c r="C74" s="23">
        <v>1</v>
      </c>
      <c r="D74" s="23">
        <v>0</v>
      </c>
      <c r="E74" s="23">
        <v>83</v>
      </c>
      <c r="F74" s="20" t="s">
        <v>100</v>
      </c>
    </row>
    <row r="75" spans="2:6" x14ac:dyDescent="0.55000000000000004">
      <c r="B75" s="23">
        <v>8</v>
      </c>
      <c r="C75" s="23">
        <v>2</v>
      </c>
      <c r="D75" s="23">
        <v>0</v>
      </c>
      <c r="E75" s="23">
        <v>83</v>
      </c>
      <c r="F75" s="20" t="s">
        <v>132</v>
      </c>
    </row>
    <row r="76" spans="2:6" x14ac:dyDescent="0.55000000000000004">
      <c r="B76" s="23">
        <v>8</v>
      </c>
      <c r="C76" s="23">
        <v>2</v>
      </c>
      <c r="D76" s="23">
        <v>1</v>
      </c>
      <c r="E76" s="23">
        <v>84</v>
      </c>
      <c r="F76" s="20" t="s">
        <v>168</v>
      </c>
    </row>
    <row r="77" spans="2:6" x14ac:dyDescent="0.55000000000000004">
      <c r="B77" s="23">
        <v>8</v>
      </c>
      <c r="C77" s="23">
        <v>2</v>
      </c>
      <c r="D77" s="23">
        <v>2</v>
      </c>
      <c r="E77" s="23">
        <v>86</v>
      </c>
      <c r="F77" s="20" t="s">
        <v>169</v>
      </c>
    </row>
    <row r="78" spans="2:6" x14ac:dyDescent="0.55000000000000004">
      <c r="B78" s="23">
        <v>8</v>
      </c>
      <c r="C78" s="23">
        <v>3</v>
      </c>
      <c r="D78" s="23">
        <v>0</v>
      </c>
      <c r="E78" s="23">
        <v>87</v>
      </c>
      <c r="F78" s="20" t="s">
        <v>133</v>
      </c>
    </row>
    <row r="79" spans="2:6" x14ac:dyDescent="0.55000000000000004">
      <c r="B79" s="23">
        <v>8</v>
      </c>
      <c r="C79" s="23">
        <v>3</v>
      </c>
      <c r="D79" s="23">
        <v>1</v>
      </c>
      <c r="E79" s="23">
        <v>88</v>
      </c>
      <c r="F79" s="20" t="s">
        <v>170</v>
      </c>
    </row>
    <row r="80" spans="2:6" x14ac:dyDescent="0.55000000000000004">
      <c r="B80" s="23">
        <v>8</v>
      </c>
      <c r="C80" s="23">
        <v>4</v>
      </c>
      <c r="D80" s="23">
        <v>0</v>
      </c>
      <c r="E80" s="23">
        <v>92</v>
      </c>
      <c r="F80" s="20" t="s">
        <v>134</v>
      </c>
    </row>
    <row r="81" spans="2:6" x14ac:dyDescent="0.55000000000000004">
      <c r="B81" s="23">
        <v>8</v>
      </c>
      <c r="C81" s="23">
        <v>4</v>
      </c>
      <c r="D81" s="23">
        <v>1</v>
      </c>
      <c r="E81" s="23">
        <v>93</v>
      </c>
      <c r="F81" s="20" t="s">
        <v>171</v>
      </c>
    </row>
    <row r="82" spans="2:6" x14ac:dyDescent="0.55000000000000004">
      <c r="B82" s="23">
        <v>8</v>
      </c>
      <c r="C82" s="23">
        <v>4</v>
      </c>
      <c r="D82" s="23">
        <v>2</v>
      </c>
      <c r="E82" s="23">
        <v>93</v>
      </c>
      <c r="F82" s="20" t="s">
        <v>172</v>
      </c>
    </row>
    <row r="83" spans="2:6" x14ac:dyDescent="0.55000000000000004">
      <c r="B83" s="23">
        <v>8</v>
      </c>
      <c r="C83" s="23">
        <v>4</v>
      </c>
      <c r="D83" s="23">
        <v>3</v>
      </c>
      <c r="E83" s="23">
        <v>94</v>
      </c>
      <c r="F83" s="20" t="s">
        <v>173</v>
      </c>
    </row>
    <row r="84" spans="2:6" x14ac:dyDescent="0.55000000000000004">
      <c r="B84" s="23">
        <v>9</v>
      </c>
      <c r="C84" s="23">
        <v>0</v>
      </c>
      <c r="D84" s="23">
        <v>0</v>
      </c>
      <c r="E84" s="23">
        <v>95</v>
      </c>
      <c r="F84" s="20" t="s">
        <v>256</v>
      </c>
    </row>
    <row r="85" spans="2:6" x14ac:dyDescent="0.55000000000000004">
      <c r="B85" s="23">
        <v>9</v>
      </c>
      <c r="C85" s="23">
        <v>1</v>
      </c>
      <c r="D85" s="23">
        <v>0</v>
      </c>
      <c r="E85" s="23">
        <v>95</v>
      </c>
      <c r="F85" s="20" t="s">
        <v>257</v>
      </c>
    </row>
    <row r="86" spans="2:6" x14ac:dyDescent="0.55000000000000004">
      <c r="B86" s="23">
        <v>9</v>
      </c>
      <c r="C86" s="23">
        <v>2</v>
      </c>
      <c r="D86" s="23">
        <v>0</v>
      </c>
      <c r="E86" s="23">
        <v>100</v>
      </c>
      <c r="F86" s="20" t="s">
        <v>258</v>
      </c>
    </row>
    <row r="87" spans="2:6" x14ac:dyDescent="0.55000000000000004">
      <c r="B87" s="23">
        <v>9</v>
      </c>
      <c r="C87" s="23">
        <v>3</v>
      </c>
      <c r="D87" s="23">
        <v>0</v>
      </c>
      <c r="E87" s="23">
        <v>101</v>
      </c>
      <c r="F87" s="20" t="s">
        <v>259</v>
      </c>
    </row>
    <row r="88" spans="2:6" x14ac:dyDescent="0.55000000000000004">
      <c r="B88" s="23">
        <v>9</v>
      </c>
      <c r="C88" s="23">
        <v>3</v>
      </c>
      <c r="D88" s="23">
        <v>1</v>
      </c>
      <c r="E88" s="23">
        <v>101</v>
      </c>
      <c r="F88" s="20" t="s">
        <v>263</v>
      </c>
    </row>
    <row r="89" spans="2:6" x14ac:dyDescent="0.55000000000000004">
      <c r="B89" s="23">
        <v>9</v>
      </c>
      <c r="C89" s="23">
        <v>3</v>
      </c>
      <c r="D89" s="23">
        <v>2</v>
      </c>
      <c r="E89" s="23">
        <v>105</v>
      </c>
      <c r="F89" s="20" t="s">
        <v>264</v>
      </c>
    </row>
    <row r="90" spans="2:6" x14ac:dyDescent="0.55000000000000004">
      <c r="B90" s="23">
        <v>9</v>
      </c>
      <c r="C90" s="23">
        <v>3</v>
      </c>
      <c r="D90" s="23">
        <v>3</v>
      </c>
      <c r="E90" s="23">
        <v>108</v>
      </c>
      <c r="F90" s="20" t="s">
        <v>265</v>
      </c>
    </row>
    <row r="91" spans="2:6" x14ac:dyDescent="0.55000000000000004">
      <c r="B91" s="23">
        <v>9</v>
      </c>
      <c r="C91" s="23">
        <v>4</v>
      </c>
      <c r="D91" s="23">
        <v>0</v>
      </c>
      <c r="E91" s="23">
        <v>110</v>
      </c>
      <c r="F91" s="20" t="s">
        <v>260</v>
      </c>
    </row>
    <row r="92" spans="2:6" x14ac:dyDescent="0.55000000000000004">
      <c r="B92" s="23">
        <v>9</v>
      </c>
      <c r="C92" s="23">
        <v>5</v>
      </c>
      <c r="D92" s="23">
        <v>0</v>
      </c>
      <c r="E92" s="23">
        <v>114</v>
      </c>
      <c r="F92" s="20" t="s">
        <v>261</v>
      </c>
    </row>
    <row r="93" spans="2:6" x14ac:dyDescent="0.55000000000000004">
      <c r="B93" s="23">
        <v>9</v>
      </c>
      <c r="C93" s="23">
        <v>6</v>
      </c>
      <c r="D93" s="23">
        <v>0</v>
      </c>
      <c r="E93" s="23">
        <v>118</v>
      </c>
      <c r="F93" s="20" t="s">
        <v>262</v>
      </c>
    </row>
    <row r="94" spans="2:6" x14ac:dyDescent="0.55000000000000004">
      <c r="B94" s="23">
        <v>10</v>
      </c>
      <c r="C94" s="23">
        <v>0</v>
      </c>
      <c r="D94" s="23">
        <v>0</v>
      </c>
      <c r="E94" s="23">
        <v>120</v>
      </c>
      <c r="F94" s="20" t="s">
        <v>273</v>
      </c>
    </row>
    <row r="95" spans="2:6" x14ac:dyDescent="0.55000000000000004">
      <c r="B95" s="23">
        <v>10</v>
      </c>
      <c r="C95" s="23">
        <v>1</v>
      </c>
      <c r="D95" s="23">
        <v>0</v>
      </c>
      <c r="E95" s="23">
        <v>120</v>
      </c>
      <c r="F95" s="20" t="s">
        <v>266</v>
      </c>
    </row>
    <row r="96" spans="2:6" x14ac:dyDescent="0.55000000000000004">
      <c r="B96" s="23">
        <v>10</v>
      </c>
      <c r="C96" s="23">
        <v>2</v>
      </c>
      <c r="D96" s="23">
        <v>0</v>
      </c>
      <c r="E96" s="23">
        <v>120</v>
      </c>
      <c r="F96" s="20" t="s">
        <v>267</v>
      </c>
    </row>
    <row r="97" spans="2:6" x14ac:dyDescent="0.55000000000000004">
      <c r="B97" s="23">
        <v>10</v>
      </c>
      <c r="C97" s="23">
        <v>2</v>
      </c>
      <c r="D97" s="23">
        <v>1</v>
      </c>
      <c r="E97" s="23">
        <v>120</v>
      </c>
      <c r="F97" s="20" t="s">
        <v>268</v>
      </c>
    </row>
    <row r="98" spans="2:6" x14ac:dyDescent="0.55000000000000004">
      <c r="B98" s="23">
        <v>10</v>
      </c>
      <c r="C98" s="23">
        <v>2</v>
      </c>
      <c r="D98" s="23">
        <v>2</v>
      </c>
      <c r="E98" s="23">
        <v>121</v>
      </c>
      <c r="F98" s="20" t="s">
        <v>269</v>
      </c>
    </row>
    <row r="99" spans="2:6" x14ac:dyDescent="0.55000000000000004">
      <c r="B99" s="23">
        <v>10</v>
      </c>
      <c r="C99" s="23">
        <v>3</v>
      </c>
      <c r="D99" s="23">
        <v>0</v>
      </c>
      <c r="E99" s="23">
        <v>122</v>
      </c>
      <c r="F99" s="20" t="s">
        <v>152</v>
      </c>
    </row>
    <row r="100" spans="2:6" x14ac:dyDescent="0.55000000000000004">
      <c r="B100" s="23">
        <v>10</v>
      </c>
      <c r="C100" s="23">
        <v>3</v>
      </c>
      <c r="D100" s="23">
        <v>1</v>
      </c>
      <c r="E100" s="23">
        <v>122</v>
      </c>
      <c r="F100" s="20" t="s">
        <v>270</v>
      </c>
    </row>
    <row r="101" spans="2:6" x14ac:dyDescent="0.55000000000000004">
      <c r="B101" s="23">
        <v>10</v>
      </c>
      <c r="C101" s="23">
        <v>3</v>
      </c>
      <c r="D101" s="23">
        <v>2</v>
      </c>
      <c r="E101" s="23">
        <v>123</v>
      </c>
      <c r="F101" s="20" t="s">
        <v>271</v>
      </c>
    </row>
    <row r="102" spans="2:6" x14ac:dyDescent="0.55000000000000004">
      <c r="B102" s="23">
        <v>10</v>
      </c>
      <c r="C102" s="23">
        <v>3</v>
      </c>
      <c r="D102" s="23">
        <v>3</v>
      </c>
      <c r="E102" s="23">
        <v>124</v>
      </c>
      <c r="F102" s="20" t="s">
        <v>272</v>
      </c>
    </row>
  </sheetData>
  <autoFilter ref="B5:D5" xr:uid="{B04110BD-C6BE-44AA-A29D-F7744663935B}"/>
  <sortState xmlns:xlrd2="http://schemas.microsoft.com/office/spreadsheetml/2017/richdata2" ref="B6:F102">
    <sortCondition ref="B6:B102"/>
    <sortCondition ref="C6:C102"/>
    <sortCondition ref="D6:D102"/>
  </sortState>
  <phoneticPr fontId="5" type="noConversion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607A-A64D-430F-B475-7AC539BE4055}">
  <sheetPr>
    <pageSetUpPr fitToPage="1"/>
  </sheetPr>
  <dimension ref="A1:K91"/>
  <sheetViews>
    <sheetView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4.4" x14ac:dyDescent="0.55000000000000004"/>
  <cols>
    <col min="1" max="1" width="1.578125" style="20" customWidth="1"/>
    <col min="2" max="2" width="12.578125" style="28" customWidth="1"/>
    <col min="3" max="5" width="4.578125" style="20" customWidth="1"/>
    <col min="6" max="6" width="6.578125" style="23" customWidth="1"/>
    <col min="7" max="7" width="4.578125" style="20" customWidth="1"/>
    <col min="8" max="9" width="6.578125" style="23" customWidth="1"/>
    <col min="10" max="10" width="30.578125" style="20" customWidth="1"/>
    <col min="11" max="11" width="6.578125" style="23" customWidth="1"/>
    <col min="12" max="16384" width="8.7890625" style="20"/>
  </cols>
  <sheetData>
    <row r="1" spans="1:11" s="1" customFormat="1" ht="18" customHeight="1" x14ac:dyDescent="0.55000000000000004">
      <c r="A1" s="1" t="s">
        <v>0</v>
      </c>
      <c r="B1" s="9" t="s">
        <v>208</v>
      </c>
      <c r="C1" s="9" t="s">
        <v>207</v>
      </c>
      <c r="D1" s="1" t="s">
        <v>175</v>
      </c>
      <c r="E1" s="1" t="s">
        <v>211</v>
      </c>
      <c r="F1" s="4" t="s">
        <v>94</v>
      </c>
      <c r="G1" s="1" t="s">
        <v>202</v>
      </c>
      <c r="H1" s="4" t="s">
        <v>95</v>
      </c>
      <c r="I1" s="4" t="s">
        <v>96</v>
      </c>
      <c r="J1" s="1" t="s">
        <v>97</v>
      </c>
      <c r="K1" s="4" t="s">
        <v>182</v>
      </c>
    </row>
    <row r="2" spans="1:11" s="11" customFormat="1" ht="10.5" hidden="1" x14ac:dyDescent="0.55000000000000004">
      <c r="A2" s="11" t="s">
        <v>13</v>
      </c>
      <c r="B2" s="18"/>
      <c r="F2" s="14"/>
      <c r="H2" s="14"/>
      <c r="I2" s="14"/>
      <c r="K2" s="14"/>
    </row>
    <row r="3" spans="1:11" s="11" customFormat="1" ht="10.5" hidden="1" x14ac:dyDescent="0.55000000000000004">
      <c r="A3" s="11" t="s">
        <v>14</v>
      </c>
      <c r="B3" s="18"/>
      <c r="F3" s="14"/>
      <c r="H3" s="14"/>
      <c r="I3" s="14"/>
      <c r="K3" s="14"/>
    </row>
    <row r="4" spans="1:11" s="11" customFormat="1" ht="10.5" hidden="1" x14ac:dyDescent="0.55000000000000004">
      <c r="A4" s="11" t="s">
        <v>15</v>
      </c>
      <c r="B4" s="18"/>
      <c r="F4" s="14"/>
      <c r="H4" s="14"/>
      <c r="I4" s="14"/>
      <c r="K4" s="14"/>
    </row>
    <row r="5" spans="1:11" s="11" customFormat="1" ht="25" customHeight="1" x14ac:dyDescent="0.55000000000000004">
      <c r="A5" s="11" t="s">
        <v>16</v>
      </c>
      <c r="B5" s="14">
        <f>COUNTA(B$6:B$205)</f>
        <v>86</v>
      </c>
      <c r="F5" s="14"/>
      <c r="H5" s="14"/>
      <c r="I5" s="14"/>
      <c r="K5" s="14"/>
    </row>
    <row r="6" spans="1:11" ht="12.9" x14ac:dyDescent="0.55000000000000004">
      <c r="B6" s="28">
        <v>45670</v>
      </c>
      <c r="C6" s="20" t="s">
        <v>209</v>
      </c>
      <c r="D6" s="20" t="s">
        <v>183</v>
      </c>
      <c r="E6" s="20" t="s">
        <v>183</v>
      </c>
      <c r="F6" s="23">
        <v>1</v>
      </c>
      <c r="G6" s="20" t="s">
        <v>203</v>
      </c>
      <c r="H6" s="23">
        <v>0</v>
      </c>
      <c r="I6" s="23">
        <v>0</v>
      </c>
      <c r="J6" s="20" t="s">
        <v>205</v>
      </c>
      <c r="K6" s="23">
        <v>1</v>
      </c>
    </row>
    <row r="7" spans="1:11" ht="12.9" x14ac:dyDescent="0.55000000000000004">
      <c r="B7" s="28">
        <v>45670</v>
      </c>
      <c r="C7" s="20" t="s">
        <v>209</v>
      </c>
      <c r="D7" s="20" t="s">
        <v>183</v>
      </c>
      <c r="E7" s="20" t="s">
        <v>183</v>
      </c>
      <c r="F7" s="23">
        <v>1</v>
      </c>
      <c r="G7" s="20" t="s">
        <v>203</v>
      </c>
      <c r="H7" s="23">
        <v>1</v>
      </c>
      <c r="I7" s="23">
        <v>0</v>
      </c>
      <c r="J7" s="20" t="s">
        <v>176</v>
      </c>
      <c r="K7" s="23">
        <v>1</v>
      </c>
    </row>
    <row r="8" spans="1:11" ht="12.9" x14ac:dyDescent="0.55000000000000004">
      <c r="B8" s="28">
        <v>45670</v>
      </c>
      <c r="C8" s="20" t="s">
        <v>209</v>
      </c>
      <c r="D8" s="20" t="s">
        <v>183</v>
      </c>
      <c r="E8" s="20" t="s">
        <v>183</v>
      </c>
      <c r="F8" s="23">
        <v>1</v>
      </c>
      <c r="G8" s="20" t="s">
        <v>203</v>
      </c>
      <c r="H8" s="23">
        <v>2</v>
      </c>
      <c r="I8" s="23">
        <v>0</v>
      </c>
      <c r="J8" s="20" t="s">
        <v>177</v>
      </c>
      <c r="K8" s="23">
        <v>3</v>
      </c>
    </row>
    <row r="9" spans="1:11" ht="12.9" x14ac:dyDescent="0.55000000000000004">
      <c r="B9" s="28">
        <v>45670</v>
      </c>
      <c r="C9" s="20" t="s">
        <v>209</v>
      </c>
      <c r="D9" s="20" t="s">
        <v>183</v>
      </c>
      <c r="E9" s="20" t="s">
        <v>183</v>
      </c>
      <c r="F9" s="23">
        <v>1</v>
      </c>
      <c r="G9" s="20" t="s">
        <v>203</v>
      </c>
      <c r="H9" s="23">
        <v>3</v>
      </c>
      <c r="I9" s="23">
        <v>0</v>
      </c>
      <c r="J9" s="20" t="s">
        <v>178</v>
      </c>
      <c r="K9" s="23">
        <v>4</v>
      </c>
    </row>
    <row r="10" spans="1:11" ht="12.9" x14ac:dyDescent="0.55000000000000004">
      <c r="B10" s="28">
        <v>45670</v>
      </c>
      <c r="C10" s="20" t="s">
        <v>209</v>
      </c>
      <c r="D10" s="20" t="s">
        <v>183</v>
      </c>
      <c r="E10" s="20" t="s">
        <v>183</v>
      </c>
      <c r="F10" s="23">
        <v>1</v>
      </c>
      <c r="G10" s="20" t="s">
        <v>203</v>
      </c>
      <c r="H10" s="23">
        <v>4</v>
      </c>
      <c r="I10" s="23">
        <v>0</v>
      </c>
      <c r="J10" s="20" t="s">
        <v>179</v>
      </c>
      <c r="K10" s="23">
        <v>4</v>
      </c>
    </row>
    <row r="11" spans="1:11" ht="12.9" x14ac:dyDescent="0.55000000000000004">
      <c r="B11" s="28">
        <v>45670</v>
      </c>
      <c r="C11" s="20" t="s">
        <v>209</v>
      </c>
      <c r="D11" s="20" t="s">
        <v>183</v>
      </c>
      <c r="E11" s="20" t="s">
        <v>183</v>
      </c>
      <c r="F11" s="23">
        <v>1</v>
      </c>
      <c r="G11" s="20" t="s">
        <v>203</v>
      </c>
      <c r="H11" s="23">
        <v>5</v>
      </c>
      <c r="I11" s="23">
        <v>0</v>
      </c>
      <c r="J11" s="20" t="s">
        <v>180</v>
      </c>
      <c r="K11" s="23">
        <v>6</v>
      </c>
    </row>
    <row r="12" spans="1:11" ht="12.9" x14ac:dyDescent="0.55000000000000004">
      <c r="B12" s="28">
        <v>45670</v>
      </c>
      <c r="C12" s="20" t="s">
        <v>209</v>
      </c>
      <c r="D12" s="20" t="s">
        <v>183</v>
      </c>
      <c r="E12" s="20" t="s">
        <v>183</v>
      </c>
      <c r="F12" s="23">
        <v>1</v>
      </c>
      <c r="G12" s="20" t="s">
        <v>203</v>
      </c>
      <c r="H12" s="23">
        <v>6</v>
      </c>
      <c r="I12" s="23">
        <v>0</v>
      </c>
      <c r="J12" s="20" t="s">
        <v>181</v>
      </c>
      <c r="K12" s="23">
        <v>7</v>
      </c>
    </row>
    <row r="13" spans="1:11" ht="12.9" x14ac:dyDescent="0.55000000000000004">
      <c r="B13" s="28">
        <v>45670</v>
      </c>
      <c r="C13" s="20" t="s">
        <v>210</v>
      </c>
      <c r="D13" s="20" t="s">
        <v>183</v>
      </c>
      <c r="E13" s="20" t="s">
        <v>183</v>
      </c>
      <c r="F13" s="23">
        <v>1</v>
      </c>
      <c r="G13" s="20" t="s">
        <v>204</v>
      </c>
      <c r="H13" s="23">
        <v>0</v>
      </c>
      <c r="I13" s="23">
        <v>0</v>
      </c>
      <c r="J13" s="20" t="s">
        <v>206</v>
      </c>
      <c r="K13" s="23">
        <v>1</v>
      </c>
    </row>
    <row r="14" spans="1:11" ht="12.9" x14ac:dyDescent="0.55000000000000004">
      <c r="B14" s="28">
        <v>45670</v>
      </c>
      <c r="C14" s="20" t="s">
        <v>210</v>
      </c>
      <c r="D14" s="20" t="s">
        <v>183</v>
      </c>
      <c r="E14" s="20" t="s">
        <v>183</v>
      </c>
      <c r="F14" s="23">
        <v>1</v>
      </c>
      <c r="G14" s="20" t="s">
        <v>204</v>
      </c>
      <c r="H14" s="23">
        <v>1</v>
      </c>
      <c r="I14" s="23">
        <v>0</v>
      </c>
      <c r="J14" s="20" t="s">
        <v>176</v>
      </c>
      <c r="K14" s="23">
        <v>2</v>
      </c>
    </row>
    <row r="15" spans="1:11" ht="12.9" x14ac:dyDescent="0.55000000000000004">
      <c r="B15" s="28">
        <v>45670</v>
      </c>
      <c r="C15" s="20" t="s">
        <v>210</v>
      </c>
      <c r="D15" s="20" t="s">
        <v>183</v>
      </c>
      <c r="E15" s="20" t="s">
        <v>183</v>
      </c>
      <c r="F15" s="23">
        <v>1</v>
      </c>
      <c r="G15" s="20" t="s">
        <v>204</v>
      </c>
      <c r="H15" s="23">
        <v>2</v>
      </c>
      <c r="I15" s="23">
        <v>0</v>
      </c>
      <c r="J15" s="20" t="s">
        <v>184</v>
      </c>
      <c r="K15" s="23">
        <v>3</v>
      </c>
    </row>
    <row r="16" spans="1:11" ht="12.9" x14ac:dyDescent="0.55000000000000004">
      <c r="B16" s="28">
        <v>45670</v>
      </c>
      <c r="C16" s="20" t="s">
        <v>210</v>
      </c>
      <c r="D16" s="20" t="s">
        <v>183</v>
      </c>
      <c r="E16" s="20" t="s">
        <v>183</v>
      </c>
      <c r="F16" s="23">
        <v>1</v>
      </c>
      <c r="G16" s="20" t="s">
        <v>204</v>
      </c>
      <c r="H16" s="23">
        <v>2</v>
      </c>
      <c r="I16" s="23">
        <v>1</v>
      </c>
      <c r="J16" s="20" t="s">
        <v>185</v>
      </c>
      <c r="K16" s="23">
        <v>4</v>
      </c>
    </row>
    <row r="17" spans="2:11" ht="12.9" x14ac:dyDescent="0.55000000000000004">
      <c r="B17" s="28">
        <v>45670</v>
      </c>
      <c r="C17" s="20" t="s">
        <v>210</v>
      </c>
      <c r="D17" s="20" t="s">
        <v>183</v>
      </c>
      <c r="E17" s="20" t="s">
        <v>183</v>
      </c>
      <c r="F17" s="23">
        <v>1</v>
      </c>
      <c r="G17" s="20" t="s">
        <v>204</v>
      </c>
      <c r="H17" s="23">
        <v>2</v>
      </c>
      <c r="I17" s="23">
        <v>2</v>
      </c>
      <c r="J17" s="20" t="s">
        <v>186</v>
      </c>
      <c r="K17" s="23">
        <v>4</v>
      </c>
    </row>
    <row r="18" spans="2:11" ht="12.9" x14ac:dyDescent="0.55000000000000004">
      <c r="B18" s="28">
        <v>45670</v>
      </c>
      <c r="C18" s="20" t="s">
        <v>210</v>
      </c>
      <c r="D18" s="20" t="s">
        <v>183</v>
      </c>
      <c r="E18" s="20" t="s">
        <v>183</v>
      </c>
      <c r="F18" s="23">
        <v>1</v>
      </c>
      <c r="G18" s="20" t="s">
        <v>204</v>
      </c>
      <c r="H18" s="23">
        <v>2</v>
      </c>
      <c r="I18" s="23">
        <v>3</v>
      </c>
      <c r="J18" s="20" t="s">
        <v>187</v>
      </c>
      <c r="K18" s="23">
        <v>7</v>
      </c>
    </row>
    <row r="19" spans="2:11" ht="12.9" x14ac:dyDescent="0.55000000000000004">
      <c r="B19" s="28">
        <v>45670</v>
      </c>
      <c r="C19" s="20" t="s">
        <v>210</v>
      </c>
      <c r="D19" s="20" t="s">
        <v>183</v>
      </c>
      <c r="E19" s="20" t="s">
        <v>183</v>
      </c>
      <c r="F19" s="23">
        <v>1</v>
      </c>
      <c r="G19" s="20" t="s">
        <v>204</v>
      </c>
      <c r="H19" s="23">
        <v>3</v>
      </c>
      <c r="I19" s="23">
        <v>0</v>
      </c>
      <c r="J19" s="20" t="s">
        <v>177</v>
      </c>
      <c r="K19" s="23">
        <v>8</v>
      </c>
    </row>
    <row r="20" spans="2:11" ht="12.9" x14ac:dyDescent="0.55000000000000004">
      <c r="B20" s="28">
        <v>45670</v>
      </c>
      <c r="C20" s="20" t="s">
        <v>210</v>
      </c>
      <c r="D20" s="20" t="s">
        <v>183</v>
      </c>
      <c r="E20" s="20" t="s">
        <v>183</v>
      </c>
      <c r="F20" s="23">
        <v>1</v>
      </c>
      <c r="G20" s="20" t="s">
        <v>204</v>
      </c>
      <c r="H20" s="23">
        <v>4</v>
      </c>
      <c r="I20" s="23">
        <v>0</v>
      </c>
      <c r="J20" s="20" t="s">
        <v>188</v>
      </c>
      <c r="K20" s="23">
        <v>8</v>
      </c>
    </row>
    <row r="21" spans="2:11" ht="12.9" x14ac:dyDescent="0.55000000000000004">
      <c r="B21" s="28">
        <v>45670</v>
      </c>
      <c r="C21" s="20" t="s">
        <v>210</v>
      </c>
      <c r="D21" s="20" t="s">
        <v>183</v>
      </c>
      <c r="E21" s="20" t="s">
        <v>183</v>
      </c>
      <c r="F21" s="23">
        <v>1</v>
      </c>
      <c r="G21" s="20" t="s">
        <v>204</v>
      </c>
      <c r="H21" s="23">
        <v>5</v>
      </c>
      <c r="I21" s="23">
        <v>0</v>
      </c>
      <c r="J21" s="20" t="s">
        <v>189</v>
      </c>
      <c r="K21" s="23">
        <v>9</v>
      </c>
    </row>
    <row r="22" spans="2:11" ht="12.9" x14ac:dyDescent="0.55000000000000004">
      <c r="B22" s="28">
        <v>45670</v>
      </c>
      <c r="C22" s="20" t="s">
        <v>210</v>
      </c>
      <c r="D22" s="20" t="s">
        <v>183</v>
      </c>
      <c r="E22" s="20" t="s">
        <v>183</v>
      </c>
      <c r="F22" s="23">
        <v>1</v>
      </c>
      <c r="G22" s="20" t="s">
        <v>204</v>
      </c>
      <c r="H22" s="23">
        <v>5</v>
      </c>
      <c r="I22" s="23">
        <v>1</v>
      </c>
      <c r="J22" s="20" t="s">
        <v>190</v>
      </c>
      <c r="K22" s="23">
        <v>9</v>
      </c>
    </row>
    <row r="23" spans="2:11" ht="12.9" x14ac:dyDescent="0.55000000000000004">
      <c r="B23" s="28">
        <v>45670</v>
      </c>
      <c r="C23" s="20" t="s">
        <v>210</v>
      </c>
      <c r="D23" s="20" t="s">
        <v>183</v>
      </c>
      <c r="E23" s="20" t="s">
        <v>183</v>
      </c>
      <c r="F23" s="23">
        <v>1</v>
      </c>
      <c r="G23" s="20" t="s">
        <v>204</v>
      </c>
      <c r="H23" s="23">
        <v>5</v>
      </c>
      <c r="I23" s="23">
        <v>2</v>
      </c>
      <c r="J23" s="20" t="s">
        <v>191</v>
      </c>
      <c r="K23" s="23">
        <v>9</v>
      </c>
    </row>
    <row r="24" spans="2:11" ht="12.9" x14ac:dyDescent="0.55000000000000004">
      <c r="B24" s="28">
        <v>45670</v>
      </c>
      <c r="C24" s="20" t="s">
        <v>210</v>
      </c>
      <c r="D24" s="20" t="s">
        <v>183</v>
      </c>
      <c r="E24" s="20" t="s">
        <v>183</v>
      </c>
      <c r="F24" s="23">
        <v>1</v>
      </c>
      <c r="G24" s="20" t="s">
        <v>204</v>
      </c>
      <c r="H24" s="23">
        <v>6</v>
      </c>
      <c r="I24" s="23">
        <v>0</v>
      </c>
      <c r="J24" s="20" t="s">
        <v>192</v>
      </c>
      <c r="K24" s="23">
        <v>10</v>
      </c>
    </row>
    <row r="25" spans="2:11" ht="12.9" x14ac:dyDescent="0.55000000000000004">
      <c r="B25" s="28">
        <v>45670</v>
      </c>
      <c r="C25" s="20" t="s">
        <v>210</v>
      </c>
      <c r="D25" s="20" t="s">
        <v>183</v>
      </c>
      <c r="E25" s="20" t="s">
        <v>183</v>
      </c>
      <c r="F25" s="23">
        <v>1</v>
      </c>
      <c r="G25" s="20" t="s">
        <v>204</v>
      </c>
      <c r="H25" s="23">
        <v>6</v>
      </c>
      <c r="I25" s="23">
        <v>1</v>
      </c>
      <c r="J25" s="20" t="s">
        <v>193</v>
      </c>
      <c r="K25" s="23">
        <v>11</v>
      </c>
    </row>
    <row r="26" spans="2:11" ht="12.9" x14ac:dyDescent="0.55000000000000004">
      <c r="B26" s="28">
        <v>45670</v>
      </c>
      <c r="C26" s="20" t="s">
        <v>210</v>
      </c>
      <c r="D26" s="20" t="s">
        <v>183</v>
      </c>
      <c r="E26" s="20" t="s">
        <v>183</v>
      </c>
      <c r="F26" s="23">
        <v>1</v>
      </c>
      <c r="G26" s="20" t="s">
        <v>204</v>
      </c>
      <c r="H26" s="23">
        <v>6</v>
      </c>
      <c r="I26" s="23">
        <v>2</v>
      </c>
      <c r="J26" s="20" t="s">
        <v>194</v>
      </c>
      <c r="K26" s="23">
        <v>11</v>
      </c>
    </row>
    <row r="27" spans="2:11" ht="12.9" x14ac:dyDescent="0.55000000000000004">
      <c r="B27" s="28">
        <v>45670</v>
      </c>
      <c r="C27" s="20" t="s">
        <v>210</v>
      </c>
      <c r="D27" s="20" t="s">
        <v>183</v>
      </c>
      <c r="E27" s="20" t="s">
        <v>183</v>
      </c>
      <c r="F27" s="23">
        <v>1</v>
      </c>
      <c r="G27" s="20" t="s">
        <v>204</v>
      </c>
      <c r="H27" s="23">
        <v>6</v>
      </c>
      <c r="I27" s="23">
        <v>3</v>
      </c>
      <c r="J27" s="20" t="s">
        <v>195</v>
      </c>
      <c r="K27" s="23">
        <v>13</v>
      </c>
    </row>
    <row r="28" spans="2:11" ht="12.9" x14ac:dyDescent="0.55000000000000004">
      <c r="B28" s="28">
        <v>45670</v>
      </c>
      <c r="C28" s="20" t="s">
        <v>210</v>
      </c>
      <c r="D28" s="20" t="s">
        <v>183</v>
      </c>
      <c r="E28" s="20" t="s">
        <v>183</v>
      </c>
      <c r="F28" s="23">
        <v>1</v>
      </c>
      <c r="G28" s="20" t="s">
        <v>204</v>
      </c>
      <c r="H28" s="23">
        <v>7</v>
      </c>
      <c r="I28" s="23">
        <v>0</v>
      </c>
      <c r="J28" s="20" t="s">
        <v>196</v>
      </c>
      <c r="K28" s="23">
        <v>15</v>
      </c>
    </row>
    <row r="29" spans="2:11" ht="12.9" x14ac:dyDescent="0.55000000000000004">
      <c r="B29" s="28">
        <v>45670</v>
      </c>
      <c r="C29" s="20" t="s">
        <v>210</v>
      </c>
      <c r="D29" s="20" t="s">
        <v>183</v>
      </c>
      <c r="E29" s="20" t="s">
        <v>183</v>
      </c>
      <c r="F29" s="23">
        <v>1</v>
      </c>
      <c r="G29" s="20" t="s">
        <v>204</v>
      </c>
      <c r="H29" s="23">
        <v>7</v>
      </c>
      <c r="I29" s="23">
        <v>1</v>
      </c>
      <c r="J29" s="20" t="s">
        <v>197</v>
      </c>
      <c r="K29" s="23">
        <v>15</v>
      </c>
    </row>
    <row r="30" spans="2:11" ht="12.9" x14ac:dyDescent="0.55000000000000004">
      <c r="B30" s="28">
        <v>45670</v>
      </c>
      <c r="C30" s="20" t="s">
        <v>210</v>
      </c>
      <c r="D30" s="20" t="s">
        <v>183</v>
      </c>
      <c r="E30" s="20" t="s">
        <v>183</v>
      </c>
      <c r="F30" s="23">
        <v>1</v>
      </c>
      <c r="G30" s="20" t="s">
        <v>204</v>
      </c>
      <c r="H30" s="23">
        <v>7</v>
      </c>
      <c r="I30" s="23">
        <v>2</v>
      </c>
      <c r="J30" s="20" t="s">
        <v>198</v>
      </c>
      <c r="K30" s="23">
        <v>15</v>
      </c>
    </row>
    <row r="31" spans="2:11" ht="12.9" x14ac:dyDescent="0.55000000000000004">
      <c r="B31" s="28">
        <v>45670</v>
      </c>
      <c r="C31" s="20" t="s">
        <v>210</v>
      </c>
      <c r="D31" s="20" t="s">
        <v>183</v>
      </c>
      <c r="E31" s="20" t="s">
        <v>183</v>
      </c>
      <c r="F31" s="23">
        <v>1</v>
      </c>
      <c r="G31" s="20" t="s">
        <v>204</v>
      </c>
      <c r="H31" s="23">
        <v>7</v>
      </c>
      <c r="I31" s="23">
        <v>3</v>
      </c>
      <c r="J31" s="20" t="s">
        <v>193</v>
      </c>
      <c r="K31" s="23">
        <v>16</v>
      </c>
    </row>
    <row r="32" spans="2:11" ht="12.9" x14ac:dyDescent="0.55000000000000004">
      <c r="B32" s="28">
        <v>45670</v>
      </c>
      <c r="C32" s="20" t="s">
        <v>210</v>
      </c>
      <c r="D32" s="20" t="s">
        <v>183</v>
      </c>
      <c r="E32" s="20" t="s">
        <v>183</v>
      </c>
      <c r="F32" s="23">
        <v>1</v>
      </c>
      <c r="G32" s="20" t="s">
        <v>204</v>
      </c>
      <c r="H32" s="23">
        <v>7</v>
      </c>
      <c r="I32" s="23">
        <v>4</v>
      </c>
      <c r="J32" s="20" t="s">
        <v>199</v>
      </c>
      <c r="K32" s="23">
        <v>17</v>
      </c>
    </row>
    <row r="33" spans="2:11" ht="12.9" x14ac:dyDescent="0.55000000000000004">
      <c r="B33" s="28">
        <v>45670</v>
      </c>
      <c r="C33" s="20" t="s">
        <v>210</v>
      </c>
      <c r="D33" s="20" t="s">
        <v>183</v>
      </c>
      <c r="E33" s="20" t="s">
        <v>183</v>
      </c>
      <c r="F33" s="23">
        <v>1</v>
      </c>
      <c r="G33" s="20" t="s">
        <v>204</v>
      </c>
      <c r="H33" s="23">
        <v>7</v>
      </c>
      <c r="I33" s="23">
        <v>5</v>
      </c>
      <c r="J33" s="20" t="s">
        <v>200</v>
      </c>
      <c r="K33" s="23">
        <v>18</v>
      </c>
    </row>
    <row r="34" spans="2:11" ht="12.9" x14ac:dyDescent="0.55000000000000004">
      <c r="B34" s="28">
        <v>45670</v>
      </c>
      <c r="C34" s="20" t="s">
        <v>210</v>
      </c>
      <c r="D34" s="20" t="s">
        <v>183</v>
      </c>
      <c r="E34" s="20" t="s">
        <v>183</v>
      </c>
      <c r="F34" s="23">
        <v>1</v>
      </c>
      <c r="G34" s="20" t="s">
        <v>204</v>
      </c>
      <c r="H34" s="23">
        <v>7</v>
      </c>
      <c r="I34" s="23">
        <v>6</v>
      </c>
      <c r="J34" s="20" t="s">
        <v>201</v>
      </c>
      <c r="K34" s="23">
        <v>18</v>
      </c>
    </row>
    <row r="35" spans="2:11" ht="12.9" x14ac:dyDescent="0.55000000000000004">
      <c r="B35" s="28">
        <v>45670</v>
      </c>
      <c r="C35" s="20" t="s">
        <v>210</v>
      </c>
      <c r="D35" s="20" t="s">
        <v>183</v>
      </c>
      <c r="E35" s="20" t="s">
        <v>183</v>
      </c>
      <c r="F35" s="23">
        <v>1</v>
      </c>
      <c r="G35" s="20" t="s">
        <v>204</v>
      </c>
      <c r="H35" s="23">
        <v>8</v>
      </c>
      <c r="I35" s="23">
        <v>0</v>
      </c>
      <c r="J35" s="20" t="s">
        <v>180</v>
      </c>
      <c r="K35" s="23">
        <v>19</v>
      </c>
    </row>
    <row r="36" spans="2:11" ht="12.9" x14ac:dyDescent="0.55000000000000004">
      <c r="B36" s="28">
        <v>45670</v>
      </c>
      <c r="C36" s="20" t="s">
        <v>210</v>
      </c>
      <c r="D36" s="20" t="s">
        <v>183</v>
      </c>
      <c r="E36" s="20" t="s">
        <v>183</v>
      </c>
      <c r="F36" s="23">
        <v>1</v>
      </c>
      <c r="G36" s="20" t="s">
        <v>204</v>
      </c>
      <c r="H36" s="23">
        <v>9</v>
      </c>
      <c r="I36" s="23">
        <v>0</v>
      </c>
      <c r="J36" s="20" t="s">
        <v>181</v>
      </c>
      <c r="K36" s="23">
        <v>20</v>
      </c>
    </row>
    <row r="37" spans="2:11" x14ac:dyDescent="0.55000000000000004">
      <c r="B37" s="28">
        <v>45671</v>
      </c>
      <c r="C37" s="20" t="s">
        <v>209</v>
      </c>
      <c r="D37" s="20" t="s">
        <v>183</v>
      </c>
      <c r="E37" s="20" t="s">
        <v>183</v>
      </c>
      <c r="F37" s="23">
        <v>2</v>
      </c>
      <c r="G37" s="20" t="s">
        <v>203</v>
      </c>
      <c r="H37" s="23">
        <v>0</v>
      </c>
      <c r="I37" s="23">
        <v>0</v>
      </c>
      <c r="J37" s="20" t="s">
        <v>212</v>
      </c>
      <c r="K37" s="23">
        <v>1</v>
      </c>
    </row>
    <row r="38" spans="2:11" x14ac:dyDescent="0.55000000000000004">
      <c r="B38" s="28">
        <v>45671</v>
      </c>
      <c r="C38" s="20" t="s">
        <v>209</v>
      </c>
      <c r="D38" s="20" t="s">
        <v>183</v>
      </c>
      <c r="E38" s="20" t="s">
        <v>183</v>
      </c>
      <c r="F38" s="23">
        <v>2</v>
      </c>
      <c r="G38" s="20" t="s">
        <v>203</v>
      </c>
      <c r="H38" s="23">
        <v>1</v>
      </c>
      <c r="I38" s="23">
        <v>0</v>
      </c>
      <c r="J38" s="20" t="s">
        <v>213</v>
      </c>
      <c r="K38" s="23">
        <v>1</v>
      </c>
    </row>
    <row r="39" spans="2:11" x14ac:dyDescent="0.55000000000000004">
      <c r="B39" s="28">
        <v>45671</v>
      </c>
      <c r="C39" s="20" t="s">
        <v>209</v>
      </c>
      <c r="D39" s="20" t="s">
        <v>183</v>
      </c>
      <c r="E39" s="20" t="s">
        <v>183</v>
      </c>
      <c r="F39" s="23">
        <v>2</v>
      </c>
      <c r="G39" s="20" t="s">
        <v>203</v>
      </c>
      <c r="H39" s="23">
        <v>2</v>
      </c>
      <c r="I39" s="23">
        <v>0</v>
      </c>
      <c r="J39" s="20" t="s">
        <v>214</v>
      </c>
      <c r="K39" s="23">
        <v>2</v>
      </c>
    </row>
    <row r="40" spans="2:11" x14ac:dyDescent="0.55000000000000004">
      <c r="B40" s="28">
        <v>45671</v>
      </c>
      <c r="C40" s="20" t="s">
        <v>209</v>
      </c>
      <c r="D40" s="20" t="s">
        <v>183</v>
      </c>
      <c r="E40" s="20" t="s">
        <v>183</v>
      </c>
      <c r="F40" s="23">
        <v>2</v>
      </c>
      <c r="G40" s="20" t="s">
        <v>203</v>
      </c>
      <c r="H40" s="23">
        <v>3</v>
      </c>
      <c r="I40" s="23">
        <v>0</v>
      </c>
      <c r="J40" s="20" t="s">
        <v>215</v>
      </c>
      <c r="K40" s="23">
        <v>3</v>
      </c>
    </row>
    <row r="41" spans="2:11" x14ac:dyDescent="0.55000000000000004">
      <c r="B41" s="28">
        <v>45671</v>
      </c>
      <c r="C41" s="20" t="s">
        <v>209</v>
      </c>
      <c r="D41" s="20" t="s">
        <v>183</v>
      </c>
      <c r="E41" s="20" t="s">
        <v>183</v>
      </c>
      <c r="F41" s="23">
        <v>2</v>
      </c>
      <c r="G41" s="20" t="s">
        <v>203</v>
      </c>
      <c r="H41" s="23">
        <v>4</v>
      </c>
      <c r="I41" s="23">
        <v>0</v>
      </c>
      <c r="J41" s="20" t="s">
        <v>216</v>
      </c>
      <c r="K41" s="23">
        <v>3</v>
      </c>
    </row>
    <row r="42" spans="2:11" x14ac:dyDescent="0.55000000000000004">
      <c r="B42" s="28">
        <v>45671</v>
      </c>
      <c r="C42" s="20" t="s">
        <v>209</v>
      </c>
      <c r="D42" s="20" t="s">
        <v>183</v>
      </c>
      <c r="E42" s="20" t="s">
        <v>183</v>
      </c>
      <c r="F42" s="23">
        <v>2</v>
      </c>
      <c r="G42" s="20" t="s">
        <v>203</v>
      </c>
      <c r="H42" s="23">
        <v>4</v>
      </c>
      <c r="I42" s="23">
        <v>1</v>
      </c>
      <c r="J42" s="20" t="s">
        <v>217</v>
      </c>
      <c r="K42" s="23">
        <v>3</v>
      </c>
    </row>
    <row r="43" spans="2:11" x14ac:dyDescent="0.55000000000000004">
      <c r="B43" s="28">
        <v>45671</v>
      </c>
      <c r="C43" s="20" t="s">
        <v>209</v>
      </c>
      <c r="D43" s="20" t="s">
        <v>183</v>
      </c>
      <c r="E43" s="20" t="s">
        <v>183</v>
      </c>
      <c r="F43" s="23">
        <v>2</v>
      </c>
      <c r="G43" s="20" t="s">
        <v>203</v>
      </c>
      <c r="H43" s="23">
        <v>4</v>
      </c>
      <c r="I43" s="23">
        <v>2</v>
      </c>
      <c r="J43" s="20" t="s">
        <v>218</v>
      </c>
      <c r="K43" s="23">
        <v>7</v>
      </c>
    </row>
    <row r="44" spans="2:11" x14ac:dyDescent="0.55000000000000004">
      <c r="B44" s="28">
        <v>45671</v>
      </c>
      <c r="C44" s="20" t="s">
        <v>209</v>
      </c>
      <c r="D44" s="20" t="s">
        <v>183</v>
      </c>
      <c r="E44" s="20" t="s">
        <v>183</v>
      </c>
      <c r="F44" s="23">
        <v>2</v>
      </c>
      <c r="G44" s="20" t="s">
        <v>203</v>
      </c>
      <c r="H44" s="23">
        <v>4</v>
      </c>
      <c r="I44" s="23">
        <v>3</v>
      </c>
      <c r="J44" s="20" t="s">
        <v>219</v>
      </c>
      <c r="K44" s="23">
        <v>7</v>
      </c>
    </row>
    <row r="45" spans="2:11" x14ac:dyDescent="0.55000000000000004">
      <c r="B45" s="28">
        <v>45671</v>
      </c>
      <c r="C45" s="20" t="s">
        <v>209</v>
      </c>
      <c r="D45" s="20" t="s">
        <v>183</v>
      </c>
      <c r="E45" s="20" t="s">
        <v>183</v>
      </c>
      <c r="F45" s="23">
        <v>2</v>
      </c>
      <c r="G45" s="20" t="s">
        <v>203</v>
      </c>
      <c r="H45" s="23">
        <v>4</v>
      </c>
      <c r="I45" s="23">
        <v>4</v>
      </c>
      <c r="J45" s="20" t="s">
        <v>220</v>
      </c>
      <c r="K45" s="23">
        <v>8</v>
      </c>
    </row>
    <row r="46" spans="2:11" x14ac:dyDescent="0.55000000000000004">
      <c r="B46" s="28">
        <v>45671</v>
      </c>
      <c r="C46" s="20" t="s">
        <v>209</v>
      </c>
      <c r="D46" s="20" t="s">
        <v>183</v>
      </c>
      <c r="E46" s="20" t="s">
        <v>183</v>
      </c>
      <c r="F46" s="23">
        <v>2</v>
      </c>
      <c r="G46" s="20" t="s">
        <v>203</v>
      </c>
      <c r="H46" s="23">
        <v>5</v>
      </c>
      <c r="I46" s="23">
        <v>0</v>
      </c>
      <c r="J46" s="20" t="s">
        <v>221</v>
      </c>
      <c r="K46" s="23">
        <v>8</v>
      </c>
    </row>
    <row r="47" spans="2:11" x14ac:dyDescent="0.55000000000000004">
      <c r="B47" s="28">
        <v>45671</v>
      </c>
      <c r="C47" s="20" t="s">
        <v>209</v>
      </c>
      <c r="D47" s="20" t="s">
        <v>183</v>
      </c>
      <c r="E47" s="20" t="s">
        <v>183</v>
      </c>
      <c r="F47" s="23">
        <v>2</v>
      </c>
      <c r="G47" s="20" t="s">
        <v>203</v>
      </c>
      <c r="H47" s="23">
        <v>5</v>
      </c>
      <c r="I47" s="23">
        <v>1</v>
      </c>
      <c r="J47" s="20" t="s">
        <v>222</v>
      </c>
      <c r="K47" s="23">
        <v>9</v>
      </c>
    </row>
    <row r="48" spans="2:11" x14ac:dyDescent="0.55000000000000004">
      <c r="B48" s="28">
        <v>45671</v>
      </c>
      <c r="C48" s="20" t="s">
        <v>209</v>
      </c>
      <c r="D48" s="20" t="s">
        <v>183</v>
      </c>
      <c r="E48" s="20" t="s">
        <v>183</v>
      </c>
      <c r="F48" s="23">
        <v>2</v>
      </c>
      <c r="G48" s="20" t="s">
        <v>203</v>
      </c>
      <c r="H48" s="23">
        <v>5</v>
      </c>
      <c r="I48" s="23">
        <v>2</v>
      </c>
      <c r="J48" s="20" t="s">
        <v>223</v>
      </c>
      <c r="K48" s="23">
        <v>10</v>
      </c>
    </row>
    <row r="49" spans="2:11" x14ac:dyDescent="0.55000000000000004">
      <c r="B49" s="28">
        <v>45671</v>
      </c>
      <c r="C49" s="20" t="s">
        <v>209</v>
      </c>
      <c r="D49" s="20" t="s">
        <v>183</v>
      </c>
      <c r="E49" s="20" t="s">
        <v>183</v>
      </c>
      <c r="F49" s="23">
        <v>2</v>
      </c>
      <c r="G49" s="20" t="s">
        <v>203</v>
      </c>
      <c r="H49" s="23">
        <v>5</v>
      </c>
      <c r="I49" s="23">
        <v>3</v>
      </c>
      <c r="J49" s="20" t="s">
        <v>224</v>
      </c>
      <c r="K49" s="23">
        <v>11</v>
      </c>
    </row>
    <row r="50" spans="2:11" x14ac:dyDescent="0.55000000000000004">
      <c r="B50" s="28">
        <v>45671</v>
      </c>
      <c r="C50" s="20" t="s">
        <v>209</v>
      </c>
      <c r="D50" s="20" t="s">
        <v>183</v>
      </c>
      <c r="E50" s="20" t="s">
        <v>183</v>
      </c>
      <c r="F50" s="23">
        <v>2</v>
      </c>
      <c r="G50" s="20" t="s">
        <v>203</v>
      </c>
      <c r="H50" s="23">
        <v>5</v>
      </c>
      <c r="I50" s="23">
        <v>4</v>
      </c>
      <c r="J50" s="20" t="s">
        <v>225</v>
      </c>
      <c r="K50" s="23">
        <v>12</v>
      </c>
    </row>
    <row r="51" spans="2:11" x14ac:dyDescent="0.55000000000000004">
      <c r="B51" s="28">
        <v>45671</v>
      </c>
      <c r="C51" s="20" t="s">
        <v>209</v>
      </c>
      <c r="D51" s="20" t="s">
        <v>183</v>
      </c>
      <c r="E51" s="20" t="s">
        <v>183</v>
      </c>
      <c r="F51" s="23">
        <v>2</v>
      </c>
      <c r="G51" s="20" t="s">
        <v>203</v>
      </c>
      <c r="H51" s="23">
        <v>5</v>
      </c>
      <c r="I51" s="23">
        <v>5</v>
      </c>
      <c r="J51" s="20" t="s">
        <v>226</v>
      </c>
      <c r="K51" s="23">
        <v>14</v>
      </c>
    </row>
    <row r="52" spans="2:11" x14ac:dyDescent="0.55000000000000004">
      <c r="B52" s="28">
        <v>45671</v>
      </c>
      <c r="C52" s="20" t="s">
        <v>209</v>
      </c>
      <c r="D52" s="20" t="s">
        <v>183</v>
      </c>
      <c r="E52" s="20" t="s">
        <v>183</v>
      </c>
      <c r="F52" s="23">
        <v>2</v>
      </c>
      <c r="G52" s="20" t="s">
        <v>203</v>
      </c>
      <c r="H52" s="23">
        <v>6</v>
      </c>
      <c r="I52" s="23">
        <v>0</v>
      </c>
      <c r="J52" s="20" t="s">
        <v>227</v>
      </c>
      <c r="K52" s="23">
        <v>15</v>
      </c>
    </row>
    <row r="53" spans="2:11" x14ac:dyDescent="0.55000000000000004">
      <c r="B53" s="28">
        <v>45671</v>
      </c>
      <c r="C53" s="20" t="s">
        <v>209</v>
      </c>
      <c r="D53" s="20" t="s">
        <v>183</v>
      </c>
      <c r="E53" s="20" t="s">
        <v>183</v>
      </c>
      <c r="F53" s="23">
        <v>2</v>
      </c>
      <c r="G53" s="20" t="s">
        <v>203</v>
      </c>
      <c r="H53" s="23">
        <v>7</v>
      </c>
      <c r="I53" s="23">
        <v>0</v>
      </c>
      <c r="J53" s="20" t="s">
        <v>180</v>
      </c>
      <c r="K53" s="23">
        <v>16</v>
      </c>
    </row>
    <row r="54" spans="2:11" x14ac:dyDescent="0.55000000000000004">
      <c r="B54" s="28">
        <v>45671</v>
      </c>
      <c r="C54" s="20" t="s">
        <v>209</v>
      </c>
      <c r="D54" s="20" t="s">
        <v>183</v>
      </c>
      <c r="E54" s="20" t="s">
        <v>183</v>
      </c>
      <c r="F54" s="23">
        <v>2</v>
      </c>
      <c r="G54" s="20" t="s">
        <v>203</v>
      </c>
      <c r="H54" s="23">
        <v>8</v>
      </c>
      <c r="I54" s="23">
        <v>0</v>
      </c>
      <c r="J54" s="20" t="s">
        <v>181</v>
      </c>
      <c r="K54" s="23">
        <v>16</v>
      </c>
    </row>
    <row r="55" spans="2:11" x14ac:dyDescent="0.55000000000000004">
      <c r="B55" s="28">
        <v>45671</v>
      </c>
      <c r="C55" s="20" t="s">
        <v>210</v>
      </c>
      <c r="D55" s="20" t="s">
        <v>183</v>
      </c>
      <c r="E55" s="20" t="s">
        <v>183</v>
      </c>
      <c r="F55" s="23">
        <v>2</v>
      </c>
      <c r="G55" s="20" t="s">
        <v>204</v>
      </c>
      <c r="H55" s="23">
        <v>0</v>
      </c>
      <c r="I55" s="23">
        <v>0</v>
      </c>
      <c r="J55" s="20" t="s">
        <v>228</v>
      </c>
      <c r="K55" s="23">
        <v>1</v>
      </c>
    </row>
    <row r="56" spans="2:11" x14ac:dyDescent="0.55000000000000004">
      <c r="B56" s="28">
        <v>45671</v>
      </c>
      <c r="C56" s="20" t="s">
        <v>210</v>
      </c>
      <c r="D56" s="20" t="s">
        <v>183</v>
      </c>
      <c r="E56" s="20" t="s">
        <v>183</v>
      </c>
      <c r="F56" s="23">
        <v>2</v>
      </c>
      <c r="G56" s="20" t="s">
        <v>204</v>
      </c>
      <c r="H56" s="23">
        <v>1</v>
      </c>
      <c r="I56" s="23">
        <v>0</v>
      </c>
      <c r="J56" s="20" t="s">
        <v>100</v>
      </c>
      <c r="K56" s="23">
        <v>1</v>
      </c>
    </row>
    <row r="57" spans="2:11" x14ac:dyDescent="0.55000000000000004">
      <c r="B57" s="28">
        <v>45671</v>
      </c>
      <c r="C57" s="20" t="s">
        <v>210</v>
      </c>
      <c r="D57" s="20" t="s">
        <v>183</v>
      </c>
      <c r="E57" s="20" t="s">
        <v>183</v>
      </c>
      <c r="F57" s="23">
        <v>2</v>
      </c>
      <c r="G57" s="20" t="s">
        <v>204</v>
      </c>
      <c r="H57" s="23">
        <v>2</v>
      </c>
      <c r="I57" s="23">
        <v>0</v>
      </c>
      <c r="J57" s="20" t="s">
        <v>229</v>
      </c>
      <c r="K57" s="23">
        <v>2</v>
      </c>
    </row>
    <row r="58" spans="2:11" x14ac:dyDescent="0.55000000000000004">
      <c r="B58" s="28">
        <v>45671</v>
      </c>
      <c r="C58" s="20" t="s">
        <v>210</v>
      </c>
      <c r="D58" s="20" t="s">
        <v>183</v>
      </c>
      <c r="E58" s="20" t="s">
        <v>183</v>
      </c>
      <c r="F58" s="23">
        <v>2</v>
      </c>
      <c r="G58" s="20" t="s">
        <v>204</v>
      </c>
      <c r="H58" s="23">
        <v>3</v>
      </c>
      <c r="I58" s="23">
        <v>0</v>
      </c>
      <c r="J58" s="20" t="s">
        <v>230</v>
      </c>
      <c r="K58" s="23">
        <v>3</v>
      </c>
    </row>
    <row r="59" spans="2:11" x14ac:dyDescent="0.55000000000000004">
      <c r="B59" s="28">
        <v>45671</v>
      </c>
      <c r="C59" s="20" t="s">
        <v>210</v>
      </c>
      <c r="D59" s="20" t="s">
        <v>183</v>
      </c>
      <c r="E59" s="20" t="s">
        <v>183</v>
      </c>
      <c r="F59" s="23">
        <v>2</v>
      </c>
      <c r="G59" s="20" t="s">
        <v>204</v>
      </c>
      <c r="H59" s="23">
        <v>3</v>
      </c>
      <c r="I59" s="23">
        <v>1</v>
      </c>
      <c r="J59" s="20" t="s">
        <v>231</v>
      </c>
      <c r="K59" s="23">
        <v>3</v>
      </c>
    </row>
    <row r="60" spans="2:11" x14ac:dyDescent="0.55000000000000004">
      <c r="B60" s="28">
        <v>45671</v>
      </c>
      <c r="C60" s="20" t="s">
        <v>210</v>
      </c>
      <c r="D60" s="20" t="s">
        <v>183</v>
      </c>
      <c r="E60" s="20" t="s">
        <v>183</v>
      </c>
      <c r="F60" s="23">
        <v>2</v>
      </c>
      <c r="G60" s="20" t="s">
        <v>204</v>
      </c>
      <c r="H60" s="23">
        <v>3</v>
      </c>
      <c r="I60" s="23">
        <v>2</v>
      </c>
      <c r="J60" s="20" t="s">
        <v>232</v>
      </c>
      <c r="K60" s="23">
        <v>4</v>
      </c>
    </row>
    <row r="61" spans="2:11" x14ac:dyDescent="0.55000000000000004">
      <c r="B61" s="28">
        <v>45671</v>
      </c>
      <c r="C61" s="20" t="s">
        <v>210</v>
      </c>
      <c r="D61" s="20" t="s">
        <v>183</v>
      </c>
      <c r="E61" s="20" t="s">
        <v>183</v>
      </c>
      <c r="F61" s="23">
        <v>2</v>
      </c>
      <c r="G61" s="20" t="s">
        <v>204</v>
      </c>
      <c r="H61" s="23">
        <v>4</v>
      </c>
      <c r="I61" s="23">
        <v>0</v>
      </c>
      <c r="J61" s="20" t="s">
        <v>215</v>
      </c>
      <c r="K61" s="23">
        <v>5</v>
      </c>
    </row>
    <row r="62" spans="2:11" x14ac:dyDescent="0.55000000000000004">
      <c r="B62" s="28">
        <v>45671</v>
      </c>
      <c r="C62" s="20" t="s">
        <v>210</v>
      </c>
      <c r="D62" s="20" t="s">
        <v>183</v>
      </c>
      <c r="E62" s="20" t="s">
        <v>183</v>
      </c>
      <c r="F62" s="23">
        <v>2</v>
      </c>
      <c r="G62" s="20" t="s">
        <v>204</v>
      </c>
      <c r="H62" s="23">
        <v>5</v>
      </c>
      <c r="I62" s="23">
        <v>0</v>
      </c>
      <c r="J62" s="20" t="s">
        <v>233</v>
      </c>
      <c r="K62" s="23">
        <v>5</v>
      </c>
    </row>
    <row r="63" spans="2:11" x14ac:dyDescent="0.55000000000000004">
      <c r="B63" s="28">
        <v>45671</v>
      </c>
      <c r="C63" s="20" t="s">
        <v>210</v>
      </c>
      <c r="D63" s="20" t="s">
        <v>183</v>
      </c>
      <c r="E63" s="20" t="s">
        <v>183</v>
      </c>
      <c r="F63" s="23">
        <v>2</v>
      </c>
      <c r="G63" s="20" t="s">
        <v>204</v>
      </c>
      <c r="H63" s="23">
        <v>6</v>
      </c>
      <c r="I63" s="23">
        <v>0</v>
      </c>
      <c r="J63" s="20" t="s">
        <v>234</v>
      </c>
      <c r="K63" s="23">
        <v>6</v>
      </c>
    </row>
    <row r="64" spans="2:11" x14ac:dyDescent="0.55000000000000004">
      <c r="B64" s="28">
        <v>45671</v>
      </c>
      <c r="C64" s="20" t="s">
        <v>210</v>
      </c>
      <c r="D64" s="20" t="s">
        <v>183</v>
      </c>
      <c r="E64" s="20" t="s">
        <v>183</v>
      </c>
      <c r="F64" s="23">
        <v>2</v>
      </c>
      <c r="G64" s="20" t="s">
        <v>204</v>
      </c>
      <c r="H64" s="23">
        <v>6</v>
      </c>
      <c r="I64" s="23">
        <v>1</v>
      </c>
      <c r="J64" s="20" t="s">
        <v>235</v>
      </c>
      <c r="K64" s="23">
        <v>7</v>
      </c>
    </row>
    <row r="65" spans="2:11" x14ac:dyDescent="0.55000000000000004">
      <c r="B65" s="28">
        <v>45671</v>
      </c>
      <c r="C65" s="20" t="s">
        <v>210</v>
      </c>
      <c r="D65" s="20" t="s">
        <v>183</v>
      </c>
      <c r="E65" s="20" t="s">
        <v>183</v>
      </c>
      <c r="F65" s="23">
        <v>2</v>
      </c>
      <c r="G65" s="20" t="s">
        <v>204</v>
      </c>
      <c r="H65" s="23">
        <v>6</v>
      </c>
      <c r="I65" s="23">
        <v>2</v>
      </c>
      <c r="J65" s="20" t="s">
        <v>236</v>
      </c>
      <c r="K65" s="23">
        <v>8</v>
      </c>
    </row>
    <row r="66" spans="2:11" x14ac:dyDescent="0.55000000000000004">
      <c r="B66" s="28">
        <v>45671</v>
      </c>
      <c r="C66" s="20" t="s">
        <v>210</v>
      </c>
      <c r="D66" s="20" t="s">
        <v>183</v>
      </c>
      <c r="E66" s="20" t="s">
        <v>183</v>
      </c>
      <c r="F66" s="23">
        <v>2</v>
      </c>
      <c r="G66" s="20" t="s">
        <v>204</v>
      </c>
      <c r="H66" s="23">
        <v>7</v>
      </c>
      <c r="I66" s="23">
        <v>0</v>
      </c>
      <c r="J66" s="20" t="s">
        <v>237</v>
      </c>
      <c r="K66" s="23">
        <v>9</v>
      </c>
    </row>
    <row r="67" spans="2:11" x14ac:dyDescent="0.55000000000000004">
      <c r="B67" s="28">
        <v>45671</v>
      </c>
      <c r="C67" s="20" t="s">
        <v>210</v>
      </c>
      <c r="D67" s="20" t="s">
        <v>183</v>
      </c>
      <c r="E67" s="20" t="s">
        <v>183</v>
      </c>
      <c r="F67" s="23">
        <v>2</v>
      </c>
      <c r="G67" s="20" t="s">
        <v>204</v>
      </c>
      <c r="H67" s="23">
        <v>7</v>
      </c>
      <c r="I67" s="23">
        <v>1</v>
      </c>
      <c r="J67" s="20" t="s">
        <v>238</v>
      </c>
      <c r="K67" s="23">
        <v>10</v>
      </c>
    </row>
    <row r="68" spans="2:11" x14ac:dyDescent="0.55000000000000004">
      <c r="B68" s="28">
        <v>45671</v>
      </c>
      <c r="C68" s="20" t="s">
        <v>210</v>
      </c>
      <c r="D68" s="20" t="s">
        <v>183</v>
      </c>
      <c r="E68" s="20" t="s">
        <v>183</v>
      </c>
      <c r="F68" s="23">
        <v>2</v>
      </c>
      <c r="G68" s="20" t="s">
        <v>204</v>
      </c>
      <c r="H68" s="23">
        <v>7</v>
      </c>
      <c r="I68" s="23">
        <v>2</v>
      </c>
      <c r="J68" s="20" t="s">
        <v>235</v>
      </c>
      <c r="K68" s="23">
        <v>10</v>
      </c>
    </row>
    <row r="69" spans="2:11" x14ac:dyDescent="0.55000000000000004">
      <c r="B69" s="28">
        <v>45671</v>
      </c>
      <c r="C69" s="20" t="s">
        <v>210</v>
      </c>
      <c r="D69" s="20" t="s">
        <v>183</v>
      </c>
      <c r="E69" s="20" t="s">
        <v>183</v>
      </c>
      <c r="F69" s="23">
        <v>2</v>
      </c>
      <c r="G69" s="20" t="s">
        <v>204</v>
      </c>
      <c r="H69" s="23">
        <v>8</v>
      </c>
      <c r="I69" s="23">
        <v>0</v>
      </c>
      <c r="J69" s="20" t="s">
        <v>239</v>
      </c>
      <c r="K69" s="23">
        <v>12</v>
      </c>
    </row>
    <row r="70" spans="2:11" x14ac:dyDescent="0.55000000000000004">
      <c r="B70" s="28">
        <v>45671</v>
      </c>
      <c r="C70" s="20" t="s">
        <v>210</v>
      </c>
      <c r="D70" s="20" t="s">
        <v>183</v>
      </c>
      <c r="E70" s="20" t="s">
        <v>183</v>
      </c>
      <c r="F70" s="23">
        <v>2</v>
      </c>
      <c r="G70" s="20" t="s">
        <v>204</v>
      </c>
      <c r="H70" s="23">
        <v>9</v>
      </c>
      <c r="I70" s="23">
        <v>0</v>
      </c>
      <c r="J70" s="20" t="s">
        <v>180</v>
      </c>
      <c r="K70" s="23">
        <v>12</v>
      </c>
    </row>
    <row r="71" spans="2:11" x14ac:dyDescent="0.55000000000000004">
      <c r="B71" s="28">
        <v>45671</v>
      </c>
      <c r="C71" s="20" t="s">
        <v>210</v>
      </c>
      <c r="D71" s="20" t="s">
        <v>183</v>
      </c>
      <c r="E71" s="20" t="s">
        <v>183</v>
      </c>
      <c r="F71" s="23">
        <v>2</v>
      </c>
      <c r="G71" s="20" t="s">
        <v>204</v>
      </c>
      <c r="H71" s="23">
        <v>10</v>
      </c>
      <c r="I71" s="23">
        <v>0</v>
      </c>
      <c r="J71" s="20" t="s">
        <v>181</v>
      </c>
      <c r="K71" s="23">
        <v>13</v>
      </c>
    </row>
    <row r="72" spans="2:11" x14ac:dyDescent="0.55000000000000004">
      <c r="B72" s="28">
        <v>45672</v>
      </c>
      <c r="C72" s="20" t="s">
        <v>209</v>
      </c>
      <c r="D72" s="20" t="s">
        <v>183</v>
      </c>
      <c r="E72" s="20" t="s">
        <v>183</v>
      </c>
      <c r="F72" s="23">
        <v>3</v>
      </c>
      <c r="G72" s="20" t="s">
        <v>203</v>
      </c>
      <c r="H72" s="23">
        <v>0</v>
      </c>
      <c r="I72" s="23">
        <v>0</v>
      </c>
      <c r="J72" s="20" t="s">
        <v>240</v>
      </c>
      <c r="K72" s="23">
        <v>1</v>
      </c>
    </row>
    <row r="73" spans="2:11" x14ac:dyDescent="0.55000000000000004">
      <c r="B73" s="28">
        <v>45672</v>
      </c>
      <c r="C73" s="20" t="s">
        <v>209</v>
      </c>
      <c r="D73" s="20" t="s">
        <v>183</v>
      </c>
      <c r="E73" s="20" t="s">
        <v>183</v>
      </c>
      <c r="F73" s="23">
        <v>3</v>
      </c>
      <c r="G73" s="20" t="s">
        <v>203</v>
      </c>
      <c r="H73" s="23">
        <v>1</v>
      </c>
      <c r="I73" s="23">
        <v>0</v>
      </c>
      <c r="J73" s="20" t="s">
        <v>100</v>
      </c>
      <c r="K73" s="23">
        <v>1</v>
      </c>
    </row>
    <row r="74" spans="2:11" x14ac:dyDescent="0.55000000000000004">
      <c r="B74" s="28">
        <v>45672</v>
      </c>
      <c r="C74" s="20" t="s">
        <v>209</v>
      </c>
      <c r="D74" s="20" t="s">
        <v>183</v>
      </c>
      <c r="E74" s="20" t="s">
        <v>183</v>
      </c>
      <c r="F74" s="23">
        <v>3</v>
      </c>
      <c r="G74" s="20" t="s">
        <v>203</v>
      </c>
      <c r="H74" s="23">
        <v>2</v>
      </c>
      <c r="I74" s="23">
        <v>0</v>
      </c>
      <c r="J74" s="20" t="s">
        <v>241</v>
      </c>
      <c r="K74" s="23">
        <v>2</v>
      </c>
    </row>
    <row r="75" spans="2:11" x14ac:dyDescent="0.55000000000000004">
      <c r="B75" s="28">
        <v>45672</v>
      </c>
      <c r="C75" s="20" t="s">
        <v>209</v>
      </c>
      <c r="D75" s="20" t="s">
        <v>183</v>
      </c>
      <c r="E75" s="20" t="s">
        <v>183</v>
      </c>
      <c r="F75" s="23">
        <v>3</v>
      </c>
      <c r="G75" s="20" t="s">
        <v>203</v>
      </c>
      <c r="H75" s="23">
        <v>2</v>
      </c>
      <c r="I75" s="23">
        <v>1</v>
      </c>
      <c r="J75" s="20" t="s">
        <v>242</v>
      </c>
      <c r="K75" s="23">
        <v>2</v>
      </c>
    </row>
    <row r="76" spans="2:11" x14ac:dyDescent="0.55000000000000004">
      <c r="B76" s="28">
        <v>45672</v>
      </c>
      <c r="C76" s="20" t="s">
        <v>209</v>
      </c>
      <c r="D76" s="20" t="s">
        <v>183</v>
      </c>
      <c r="E76" s="20" t="s">
        <v>183</v>
      </c>
      <c r="F76" s="23">
        <v>3</v>
      </c>
      <c r="G76" s="20" t="s">
        <v>203</v>
      </c>
      <c r="H76" s="23">
        <v>2</v>
      </c>
      <c r="I76" s="23">
        <v>2</v>
      </c>
      <c r="J76" s="20" t="s">
        <v>243</v>
      </c>
      <c r="K76" s="23">
        <v>2</v>
      </c>
    </row>
    <row r="77" spans="2:11" x14ac:dyDescent="0.55000000000000004">
      <c r="B77" s="28">
        <v>45672</v>
      </c>
      <c r="C77" s="20" t="s">
        <v>209</v>
      </c>
      <c r="D77" s="20" t="s">
        <v>183</v>
      </c>
      <c r="E77" s="20" t="s">
        <v>183</v>
      </c>
      <c r="F77" s="23">
        <v>3</v>
      </c>
      <c r="G77" s="20" t="s">
        <v>203</v>
      </c>
      <c r="H77" s="23">
        <v>2</v>
      </c>
      <c r="I77" s="23">
        <v>3</v>
      </c>
      <c r="J77" s="20" t="s">
        <v>244</v>
      </c>
      <c r="K77" s="23">
        <v>3</v>
      </c>
    </row>
    <row r="78" spans="2:11" x14ac:dyDescent="0.55000000000000004">
      <c r="B78" s="28">
        <v>45672</v>
      </c>
      <c r="C78" s="20" t="s">
        <v>209</v>
      </c>
      <c r="D78" s="20" t="s">
        <v>183</v>
      </c>
      <c r="E78" s="20" t="s">
        <v>183</v>
      </c>
      <c r="F78" s="23">
        <v>3</v>
      </c>
      <c r="G78" s="20" t="s">
        <v>203</v>
      </c>
      <c r="H78" s="23">
        <v>2</v>
      </c>
      <c r="I78" s="23">
        <v>4</v>
      </c>
      <c r="J78" s="20" t="s">
        <v>245</v>
      </c>
      <c r="K78" s="23">
        <v>4</v>
      </c>
    </row>
    <row r="79" spans="2:11" x14ac:dyDescent="0.55000000000000004">
      <c r="B79" s="28">
        <v>45672</v>
      </c>
      <c r="C79" s="20" t="s">
        <v>209</v>
      </c>
      <c r="D79" s="20" t="s">
        <v>183</v>
      </c>
      <c r="E79" s="20" t="s">
        <v>183</v>
      </c>
      <c r="F79" s="23">
        <v>3</v>
      </c>
      <c r="G79" s="20" t="s">
        <v>203</v>
      </c>
      <c r="H79" s="23">
        <v>2</v>
      </c>
      <c r="I79" s="23">
        <v>5</v>
      </c>
      <c r="J79" s="20" t="s">
        <v>246</v>
      </c>
      <c r="K79" s="23">
        <v>5</v>
      </c>
    </row>
    <row r="80" spans="2:11" x14ac:dyDescent="0.55000000000000004">
      <c r="B80" s="28">
        <v>45672</v>
      </c>
      <c r="C80" s="20" t="s">
        <v>209</v>
      </c>
      <c r="D80" s="20" t="s">
        <v>183</v>
      </c>
      <c r="E80" s="20" t="s">
        <v>183</v>
      </c>
      <c r="F80" s="23">
        <v>3</v>
      </c>
      <c r="G80" s="20" t="s">
        <v>203</v>
      </c>
      <c r="H80" s="23">
        <v>3</v>
      </c>
      <c r="I80" s="23">
        <v>0</v>
      </c>
      <c r="J80" s="20" t="s">
        <v>215</v>
      </c>
      <c r="K80" s="23">
        <v>5</v>
      </c>
    </row>
    <row r="81" spans="2:11" x14ac:dyDescent="0.55000000000000004">
      <c r="B81" s="28">
        <v>45672</v>
      </c>
      <c r="C81" s="20" t="s">
        <v>209</v>
      </c>
      <c r="D81" s="20" t="s">
        <v>183</v>
      </c>
      <c r="E81" s="20" t="s">
        <v>183</v>
      </c>
      <c r="F81" s="23">
        <v>3</v>
      </c>
      <c r="G81" s="20" t="s">
        <v>203</v>
      </c>
      <c r="H81" s="23">
        <v>4</v>
      </c>
      <c r="I81" s="23">
        <v>0</v>
      </c>
      <c r="J81" s="20" t="s">
        <v>247</v>
      </c>
      <c r="K81" s="23">
        <v>6</v>
      </c>
    </row>
    <row r="82" spans="2:11" x14ac:dyDescent="0.55000000000000004">
      <c r="B82" s="28">
        <v>45672</v>
      </c>
      <c r="C82" s="20" t="s">
        <v>209</v>
      </c>
      <c r="D82" s="20" t="s">
        <v>183</v>
      </c>
      <c r="E82" s="20" t="s">
        <v>183</v>
      </c>
      <c r="F82" s="23">
        <v>3</v>
      </c>
      <c r="G82" s="20" t="s">
        <v>203</v>
      </c>
      <c r="H82" s="23">
        <v>4</v>
      </c>
      <c r="I82" s="23">
        <v>1</v>
      </c>
      <c r="J82" s="20" t="s">
        <v>248</v>
      </c>
      <c r="K82" s="23">
        <v>6</v>
      </c>
    </row>
    <row r="83" spans="2:11" x14ac:dyDescent="0.55000000000000004">
      <c r="B83" s="28">
        <v>45672</v>
      </c>
      <c r="C83" s="20" t="s">
        <v>209</v>
      </c>
      <c r="D83" s="20" t="s">
        <v>183</v>
      </c>
      <c r="E83" s="20" t="s">
        <v>183</v>
      </c>
      <c r="F83" s="23">
        <v>3</v>
      </c>
      <c r="G83" s="20" t="s">
        <v>203</v>
      </c>
      <c r="H83" s="23">
        <v>4</v>
      </c>
      <c r="I83" s="23">
        <v>2</v>
      </c>
      <c r="J83" s="20" t="s">
        <v>249</v>
      </c>
      <c r="K83" s="23">
        <v>7</v>
      </c>
    </row>
    <row r="84" spans="2:11" x14ac:dyDescent="0.55000000000000004">
      <c r="B84" s="28">
        <v>45672</v>
      </c>
      <c r="C84" s="20" t="s">
        <v>209</v>
      </c>
      <c r="D84" s="20" t="s">
        <v>183</v>
      </c>
      <c r="E84" s="20" t="s">
        <v>183</v>
      </c>
      <c r="F84" s="23">
        <v>3</v>
      </c>
      <c r="G84" s="20" t="s">
        <v>203</v>
      </c>
      <c r="H84" s="23">
        <v>4</v>
      </c>
      <c r="I84" s="23">
        <v>3</v>
      </c>
      <c r="J84" s="20" t="s">
        <v>250</v>
      </c>
      <c r="K84" s="23">
        <v>8</v>
      </c>
    </row>
    <row r="85" spans="2:11" x14ac:dyDescent="0.55000000000000004">
      <c r="B85" s="28">
        <v>45672</v>
      </c>
      <c r="C85" s="20" t="s">
        <v>209</v>
      </c>
      <c r="D85" s="20" t="s">
        <v>183</v>
      </c>
      <c r="E85" s="20" t="s">
        <v>183</v>
      </c>
      <c r="F85" s="23">
        <v>3</v>
      </c>
      <c r="G85" s="20" t="s">
        <v>203</v>
      </c>
      <c r="H85" s="23">
        <v>5</v>
      </c>
      <c r="I85" s="23">
        <v>0</v>
      </c>
      <c r="J85" s="20" t="s">
        <v>251</v>
      </c>
      <c r="K85" s="23">
        <v>13</v>
      </c>
    </row>
    <row r="86" spans="2:11" x14ac:dyDescent="0.55000000000000004">
      <c r="B86" s="28">
        <v>45672</v>
      </c>
      <c r="C86" s="20" t="s">
        <v>209</v>
      </c>
      <c r="D86" s="20" t="s">
        <v>183</v>
      </c>
      <c r="E86" s="20" t="s">
        <v>183</v>
      </c>
      <c r="F86" s="23">
        <v>3</v>
      </c>
      <c r="G86" s="20" t="s">
        <v>203</v>
      </c>
      <c r="H86" s="23">
        <v>6</v>
      </c>
      <c r="I86" s="23">
        <v>0</v>
      </c>
      <c r="J86" s="20" t="s">
        <v>180</v>
      </c>
      <c r="K86" s="23">
        <v>14</v>
      </c>
    </row>
    <row r="87" spans="2:11" x14ac:dyDescent="0.55000000000000004">
      <c r="B87" s="28">
        <v>45672</v>
      </c>
      <c r="C87" s="20" t="s">
        <v>209</v>
      </c>
      <c r="D87" s="20" t="s">
        <v>183</v>
      </c>
      <c r="E87" s="20" t="s">
        <v>183</v>
      </c>
      <c r="F87" s="23">
        <v>3</v>
      </c>
      <c r="G87" s="20" t="s">
        <v>203</v>
      </c>
      <c r="H87" s="23">
        <v>7</v>
      </c>
      <c r="I87" s="23">
        <v>0</v>
      </c>
      <c r="J87" s="20" t="s">
        <v>181</v>
      </c>
      <c r="K87" s="23">
        <v>15</v>
      </c>
    </row>
    <row r="88" spans="2:11" x14ac:dyDescent="0.55000000000000004">
      <c r="B88" s="28">
        <v>45672</v>
      </c>
      <c r="C88" s="20" t="s">
        <v>210</v>
      </c>
      <c r="D88" s="20" t="s">
        <v>252</v>
      </c>
      <c r="E88" s="20" t="s">
        <v>183</v>
      </c>
      <c r="F88" s="23">
        <v>3</v>
      </c>
      <c r="G88" s="20" t="s">
        <v>204</v>
      </c>
      <c r="H88" s="23">
        <v>0</v>
      </c>
      <c r="I88" s="23">
        <v>0</v>
      </c>
      <c r="J88" s="20" t="s">
        <v>253</v>
      </c>
      <c r="K88" s="23">
        <v>1</v>
      </c>
    </row>
    <row r="89" spans="2:11" x14ac:dyDescent="0.55000000000000004">
      <c r="B89" s="28">
        <v>45673</v>
      </c>
      <c r="C89" s="20" t="s">
        <v>209</v>
      </c>
      <c r="D89" s="20" t="s">
        <v>254</v>
      </c>
      <c r="E89" s="20" t="s">
        <v>183</v>
      </c>
      <c r="F89" s="23">
        <v>4</v>
      </c>
      <c r="G89" s="20" t="s">
        <v>203</v>
      </c>
      <c r="H89" s="23">
        <v>0</v>
      </c>
      <c r="I89" s="23">
        <v>0</v>
      </c>
      <c r="J89" s="20" t="s">
        <v>102</v>
      </c>
      <c r="K89" s="23">
        <v>1</v>
      </c>
    </row>
    <row r="90" spans="2:11" x14ac:dyDescent="0.55000000000000004">
      <c r="B90" s="28">
        <v>45674</v>
      </c>
      <c r="C90" s="20" t="s">
        <v>209</v>
      </c>
      <c r="D90" s="20" t="s">
        <v>254</v>
      </c>
      <c r="E90" s="20" t="s">
        <v>183</v>
      </c>
      <c r="F90" s="23">
        <v>5</v>
      </c>
      <c r="G90" s="20" t="s">
        <v>203</v>
      </c>
      <c r="H90" s="23">
        <v>0</v>
      </c>
      <c r="I90" s="23">
        <v>0</v>
      </c>
      <c r="J90" s="20" t="s">
        <v>105</v>
      </c>
      <c r="K90" s="23">
        <v>83</v>
      </c>
    </row>
    <row r="91" spans="2:11" x14ac:dyDescent="0.55000000000000004">
      <c r="B91" s="28">
        <v>45674</v>
      </c>
      <c r="C91" s="20" t="s">
        <v>210</v>
      </c>
      <c r="D91" s="20" t="s">
        <v>183</v>
      </c>
      <c r="E91" s="20" t="s">
        <v>183</v>
      </c>
      <c r="F91" s="23">
        <v>5</v>
      </c>
      <c r="G91" s="20" t="s">
        <v>204</v>
      </c>
      <c r="H91" s="23">
        <v>0</v>
      </c>
      <c r="I91" s="23">
        <v>0</v>
      </c>
      <c r="J91" s="20" t="s">
        <v>255</v>
      </c>
      <c r="K91" s="23">
        <v>1</v>
      </c>
    </row>
  </sheetData>
  <autoFilter ref="B5:I5" xr:uid="{0A6D607A-A64D-430F-B475-7AC539BE4055}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layout</vt:lpstr>
      <vt:lpstr>tabs</vt:lpstr>
      <vt:lpstr>s_1a_topics</vt:lpstr>
      <vt:lpstr>eda_v3</vt:lpstr>
      <vt:lpstr>jan_13_17</vt:lpstr>
      <vt:lpstr>eda_v3!Print_Titles</vt:lpstr>
      <vt:lpstr>jan_13_17!Print_Titles</vt:lpstr>
      <vt:lpstr>layout!Print_Titles</vt:lpstr>
      <vt:lpstr>s_1a_topics!Print_Titles</vt:lpstr>
      <vt:lpstr>tabs!Print_Titles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Thrall</dc:creator>
  <cp:lastModifiedBy>Tony Thrall</cp:lastModifiedBy>
  <dcterms:created xsi:type="dcterms:W3CDTF">2024-12-21T15:21:39Z</dcterms:created>
  <dcterms:modified xsi:type="dcterms:W3CDTF">2025-01-19T16:41:11Z</dcterms:modified>
</cp:coreProperties>
</file>